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ВАСЕНЕВ Глеб\Новосергиевка\Гидравлика\"/>
    </mc:Choice>
  </mc:AlternateContent>
  <bookViews>
    <workbookView xWindow="0" yWindow="0" windowWidth="28800" windowHeight="11700"/>
  </bookViews>
  <sheets>
    <sheet name="3й вариант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X52" i="1" l="1"/>
  <c r="CV52" i="1"/>
  <c r="CT52" i="1"/>
  <c r="CR52" i="1"/>
  <c r="CN52" i="1"/>
  <c r="CK52" i="1"/>
  <c r="CD52" i="1"/>
  <c r="BW52" i="1"/>
  <c r="BH52" i="1" s="1"/>
  <c r="BF52" i="1"/>
  <c r="BE52" i="1"/>
  <c r="BG52" i="1" s="1"/>
  <c r="AW52" i="1"/>
  <c r="AV52" i="1"/>
  <c r="AS52" i="1"/>
  <c r="AR52" i="1"/>
  <c r="AG52" i="1"/>
  <c r="AH52" i="1" s="1"/>
  <c r="Y52" i="1"/>
  <c r="V52" i="1" s="1"/>
  <c r="W52" i="1"/>
  <c r="S52" i="1"/>
  <c r="O52" i="1"/>
  <c r="P52" i="1" s="1"/>
  <c r="G52" i="1"/>
  <c r="F52" i="1"/>
  <c r="CY51" i="1"/>
  <c r="CX51" i="1"/>
  <c r="CV51" i="1"/>
  <c r="CT51" i="1"/>
  <c r="CR51" i="1"/>
  <c r="CN51" i="1"/>
  <c r="CK51" i="1"/>
  <c r="CD51" i="1"/>
  <c r="BW51" i="1"/>
  <c r="BR51" i="1"/>
  <c r="BN51" i="1"/>
  <c r="BO51" i="1" s="1"/>
  <c r="BH51" i="1"/>
  <c r="BE51" i="1" s="1"/>
  <c r="BF51" i="1"/>
  <c r="BG51" i="1" s="1"/>
  <c r="AW51" i="1"/>
  <c r="AV51" i="1"/>
  <c r="AS51" i="1"/>
  <c r="Y51" i="1" s="1"/>
  <c r="AR51" i="1"/>
  <c r="AA51" i="1"/>
  <c r="W51" i="1"/>
  <c r="V51" i="1"/>
  <c r="X51" i="1" s="1"/>
  <c r="S51" i="1"/>
  <c r="AG51" i="1" s="1"/>
  <c r="AH51" i="1" s="1"/>
  <c r="R51" i="1"/>
  <c r="P51" i="1"/>
  <c r="O51" i="1"/>
  <c r="F51" i="1"/>
  <c r="D51" i="1"/>
  <c r="C51" i="1"/>
  <c r="CX50" i="1"/>
  <c r="CV50" i="1"/>
  <c r="CT50" i="1"/>
  <c r="CR50" i="1"/>
  <c r="CN50" i="1"/>
  <c r="CK50" i="1"/>
  <c r="CD50" i="1"/>
  <c r="BW50" i="1"/>
  <c r="BH50" i="1" s="1"/>
  <c r="BF50" i="1"/>
  <c r="BE50" i="1"/>
  <c r="AW50" i="1"/>
  <c r="AV50" i="1"/>
  <c r="AS50" i="1"/>
  <c r="AR50" i="1"/>
  <c r="AG50" i="1"/>
  <c r="AH50" i="1" s="1"/>
  <c r="Y50" i="1"/>
  <c r="V50" i="1" s="1"/>
  <c r="W50" i="1"/>
  <c r="S50" i="1"/>
  <c r="O50" i="1"/>
  <c r="P50" i="1" s="1"/>
  <c r="G50" i="1"/>
  <c r="F50" i="1"/>
  <c r="CX49" i="1"/>
  <c r="CV49" i="1"/>
  <c r="CT49" i="1"/>
  <c r="CR49" i="1"/>
  <c r="CN49" i="1"/>
  <c r="CK49" i="1"/>
  <c r="CD49" i="1"/>
  <c r="BW49" i="1"/>
  <c r="BH49" i="1" s="1"/>
  <c r="BE49" i="1" s="1"/>
  <c r="BR49" i="1"/>
  <c r="BO49" i="1"/>
  <c r="BN49" i="1"/>
  <c r="BG49" i="1"/>
  <c r="BF49" i="1"/>
  <c r="AW49" i="1"/>
  <c r="AV49" i="1"/>
  <c r="AS49" i="1"/>
  <c r="Y49" i="1" s="1"/>
  <c r="AR49" i="1"/>
  <c r="AA49" i="1"/>
  <c r="W49" i="1"/>
  <c r="V49" i="1"/>
  <c r="S49" i="1"/>
  <c r="AK49" i="1" s="1"/>
  <c r="R49" i="1"/>
  <c r="CY49" i="1" s="1"/>
  <c r="P49" i="1"/>
  <c r="O49" i="1"/>
  <c r="H49" i="1"/>
  <c r="G49" i="1"/>
  <c r="F49" i="1"/>
  <c r="CX48" i="1"/>
  <c r="CV48" i="1"/>
  <c r="CT48" i="1"/>
  <c r="CR48" i="1"/>
  <c r="CN48" i="1"/>
  <c r="CK48" i="1"/>
  <c r="CD48" i="1"/>
  <c r="BW48" i="1"/>
  <c r="BH48" i="1" s="1"/>
  <c r="BE48" i="1" s="1"/>
  <c r="BG48" i="1"/>
  <c r="BF48" i="1"/>
  <c r="AW48" i="1"/>
  <c r="AV48" i="1"/>
  <c r="AS48" i="1"/>
  <c r="AR48" i="1"/>
  <c r="Y48" i="1"/>
  <c r="V48" i="1" s="1"/>
  <c r="W48" i="1"/>
  <c r="S48" i="1"/>
  <c r="R48" i="1"/>
  <c r="CY48" i="1" s="1"/>
  <c r="O48" i="1"/>
  <c r="P48" i="1" s="1"/>
  <c r="G48" i="1"/>
  <c r="F48" i="1"/>
  <c r="CX47" i="1"/>
  <c r="CV47" i="1"/>
  <c r="CT47" i="1"/>
  <c r="CR47" i="1"/>
  <c r="CN47" i="1"/>
  <c r="CK47" i="1"/>
  <c r="CD47" i="1"/>
  <c r="BW47" i="1"/>
  <c r="BN47" i="1"/>
  <c r="BO47" i="1" s="1"/>
  <c r="BH47" i="1"/>
  <c r="BF47" i="1"/>
  <c r="BE47" i="1"/>
  <c r="AW47" i="1"/>
  <c r="AA47" i="1" s="1"/>
  <c r="AV47" i="1"/>
  <c r="AS47" i="1"/>
  <c r="AR47" i="1"/>
  <c r="AK47" i="1"/>
  <c r="AH47" i="1"/>
  <c r="AG47" i="1"/>
  <c r="AC47" i="1"/>
  <c r="Y47" i="1"/>
  <c r="X47" i="1"/>
  <c r="W47" i="1"/>
  <c r="V47" i="1"/>
  <c r="S47" i="1"/>
  <c r="R47" i="1"/>
  <c r="CY47" i="1" s="1"/>
  <c r="P47" i="1"/>
  <c r="O47" i="1"/>
  <c r="H47" i="1"/>
  <c r="G47" i="1"/>
  <c r="F47" i="1"/>
  <c r="CR46" i="1"/>
  <c r="CN46" i="1"/>
  <c r="CK46" i="1"/>
  <c r="BW46" i="1"/>
  <c r="BN46" i="1"/>
  <c r="BO46" i="1" s="1"/>
  <c r="BH46" i="1"/>
  <c r="BF46" i="1"/>
  <c r="BE46" i="1"/>
  <c r="AW46" i="1"/>
  <c r="AV46" i="1"/>
  <c r="AS46" i="1"/>
  <c r="AR46" i="1"/>
  <c r="AK46" i="1"/>
  <c r="AH46" i="1"/>
  <c r="AG46" i="1"/>
  <c r="AC46" i="1"/>
  <c r="Y46" i="1"/>
  <c r="X46" i="1"/>
  <c r="W46" i="1"/>
  <c r="V46" i="1"/>
  <c r="S46" i="1"/>
  <c r="R46" i="1"/>
  <c r="CY46" i="1" s="1"/>
  <c r="P46" i="1"/>
  <c r="O46" i="1"/>
  <c r="C46" i="1"/>
  <c r="CR45" i="1"/>
  <c r="CN45" i="1"/>
  <c r="CK45" i="1"/>
  <c r="BW45" i="1"/>
  <c r="BH45" i="1" s="1"/>
  <c r="BE45" i="1" s="1"/>
  <c r="BG45" i="1" s="1"/>
  <c r="BR45" i="1"/>
  <c r="BN45" i="1"/>
  <c r="BO45" i="1" s="1"/>
  <c r="BF45" i="1"/>
  <c r="AW45" i="1"/>
  <c r="AG45" i="1" s="1"/>
  <c r="AH45" i="1" s="1"/>
  <c r="AV45" i="1"/>
  <c r="AS45" i="1"/>
  <c r="Y45" i="1" s="1"/>
  <c r="AR45" i="1"/>
  <c r="AA45" i="1"/>
  <c r="X45" i="1"/>
  <c r="W45" i="1"/>
  <c r="V45" i="1"/>
  <c r="S45" i="1"/>
  <c r="AK45" i="1" s="1"/>
  <c r="R45" i="1"/>
  <c r="CY45" i="1" s="1"/>
  <c r="P45" i="1"/>
  <c r="O45" i="1"/>
  <c r="CR44" i="1"/>
  <c r="CN44" i="1"/>
  <c r="CK44" i="1"/>
  <c r="BW44" i="1"/>
  <c r="BN44" i="1"/>
  <c r="BO44" i="1" s="1"/>
  <c r="BH44" i="1"/>
  <c r="BF44" i="1"/>
  <c r="BE44" i="1"/>
  <c r="AW44" i="1"/>
  <c r="AV44" i="1"/>
  <c r="AS44" i="1"/>
  <c r="AR44" i="1"/>
  <c r="AK44" i="1"/>
  <c r="AH44" i="1"/>
  <c r="AG44" i="1"/>
  <c r="AC44" i="1"/>
  <c r="Y44" i="1"/>
  <c r="X44" i="1"/>
  <c r="W44" i="1"/>
  <c r="V44" i="1"/>
  <c r="S44" i="1"/>
  <c r="R44" i="1"/>
  <c r="CY44" i="1" s="1"/>
  <c r="P44" i="1"/>
  <c r="O44" i="1"/>
  <c r="CY43" i="1"/>
  <c r="CR43" i="1"/>
  <c r="CN43" i="1"/>
  <c r="CK43" i="1"/>
  <c r="BW43" i="1"/>
  <c r="BH43" i="1" s="1"/>
  <c r="BE43" i="1" s="1"/>
  <c r="BR43" i="1"/>
  <c r="BN43" i="1"/>
  <c r="BO43" i="1" s="1"/>
  <c r="BG43" i="1"/>
  <c r="BF43" i="1"/>
  <c r="AW43" i="1"/>
  <c r="AV43" i="1"/>
  <c r="AS43" i="1"/>
  <c r="Y43" i="1" s="1"/>
  <c r="AR43" i="1"/>
  <c r="AA43" i="1"/>
  <c r="W43" i="1"/>
  <c r="X43" i="1" s="1"/>
  <c r="V43" i="1"/>
  <c r="S43" i="1"/>
  <c r="AK43" i="1" s="1"/>
  <c r="R43" i="1"/>
  <c r="P43" i="1"/>
  <c r="O43" i="1"/>
  <c r="CX41" i="1"/>
  <c r="CV41" i="1"/>
  <c r="CT41" i="1"/>
  <c r="CR41" i="1"/>
  <c r="CN41" i="1"/>
  <c r="CK41" i="1"/>
  <c r="CD41" i="1"/>
  <c r="BW41" i="1"/>
  <c r="BH41" i="1"/>
  <c r="BE41" i="1" s="1"/>
  <c r="BG41" i="1" s="1"/>
  <c r="BF41" i="1"/>
  <c r="AW41" i="1"/>
  <c r="AV41" i="1"/>
  <c r="AS41" i="1"/>
  <c r="Y41" i="1" s="1"/>
  <c r="V41" i="1" s="1"/>
  <c r="AR41" i="1"/>
  <c r="AG41" i="1"/>
  <c r="AH41" i="1" s="1"/>
  <c r="AA41" i="1"/>
  <c r="X41" i="1"/>
  <c r="W41" i="1"/>
  <c r="S41" i="1"/>
  <c r="R41" i="1"/>
  <c r="O41" i="1"/>
  <c r="N41" i="1"/>
  <c r="G41" i="1"/>
  <c r="F41" i="1"/>
  <c r="CX40" i="1"/>
  <c r="CV40" i="1"/>
  <c r="CT40" i="1"/>
  <c r="CR40" i="1"/>
  <c r="CN40" i="1"/>
  <c r="CK40" i="1"/>
  <c r="CD40" i="1"/>
  <c r="BW40" i="1"/>
  <c r="BH40" i="1" s="1"/>
  <c r="BE40" i="1" s="1"/>
  <c r="BR40" i="1"/>
  <c r="BO40" i="1"/>
  <c r="BN40" i="1"/>
  <c r="BG40" i="1"/>
  <c r="BF40" i="1"/>
  <c r="BC40" i="1"/>
  <c r="AW40" i="1"/>
  <c r="AV40" i="1"/>
  <c r="AS40" i="1"/>
  <c r="Y40" i="1" s="1"/>
  <c r="AR40" i="1"/>
  <c r="AC40" i="1"/>
  <c r="AA40" i="1"/>
  <c r="W40" i="1"/>
  <c r="V40" i="1"/>
  <c r="S40" i="1"/>
  <c r="P40" i="1"/>
  <c r="O40" i="1"/>
  <c r="I40" i="1"/>
  <c r="J40" i="1" s="1"/>
  <c r="H40" i="1"/>
  <c r="G40" i="1"/>
  <c r="F40" i="1"/>
  <c r="E40" i="1"/>
  <c r="CX39" i="1"/>
  <c r="CV39" i="1"/>
  <c r="CT39" i="1"/>
  <c r="CR39" i="1"/>
  <c r="CN39" i="1"/>
  <c r="CK39" i="1"/>
  <c r="CD39" i="1"/>
  <c r="BW39" i="1"/>
  <c r="BR39" i="1"/>
  <c r="BO39" i="1"/>
  <c r="BN39" i="1"/>
  <c r="BH39" i="1"/>
  <c r="BE39" i="1" s="1"/>
  <c r="BG39" i="1"/>
  <c r="BF39" i="1"/>
  <c r="BD39" i="1"/>
  <c r="BC39" i="1"/>
  <c r="AW39" i="1"/>
  <c r="AV39" i="1"/>
  <c r="AS39" i="1"/>
  <c r="Y39" i="1" s="1"/>
  <c r="AR39" i="1"/>
  <c r="AA39" i="1"/>
  <c r="W39" i="1"/>
  <c r="V39" i="1"/>
  <c r="X39" i="1" s="1"/>
  <c r="S39" i="1"/>
  <c r="AG39" i="1" s="1"/>
  <c r="AH39" i="1" s="1"/>
  <c r="R39" i="1"/>
  <c r="CY39" i="1" s="1"/>
  <c r="Q39" i="1"/>
  <c r="P39" i="1"/>
  <c r="O39" i="1"/>
  <c r="H39" i="1"/>
  <c r="G39" i="1"/>
  <c r="F39" i="1"/>
  <c r="I39" i="1" s="1"/>
  <c r="J39" i="1" s="1"/>
  <c r="E39" i="1"/>
  <c r="CX38" i="1"/>
  <c r="CV38" i="1"/>
  <c r="CT38" i="1"/>
  <c r="CR38" i="1"/>
  <c r="CN38" i="1"/>
  <c r="CK38" i="1"/>
  <c r="BW38" i="1"/>
  <c r="BH38" i="1"/>
  <c r="BF38" i="1"/>
  <c r="BE38" i="1"/>
  <c r="BG38" i="1" s="1"/>
  <c r="AW38" i="1"/>
  <c r="AV38" i="1"/>
  <c r="AS38" i="1"/>
  <c r="AR38" i="1"/>
  <c r="Y38" i="1"/>
  <c r="V38" i="1" s="1"/>
  <c r="W38" i="1"/>
  <c r="X38" i="1" s="1"/>
  <c r="S38" i="1"/>
  <c r="O38" i="1"/>
  <c r="P38" i="1" s="1"/>
  <c r="I38" i="1"/>
  <c r="G38" i="1"/>
  <c r="F38" i="1"/>
  <c r="CX37" i="1"/>
  <c r="CV37" i="1"/>
  <c r="CT37" i="1"/>
  <c r="CR37" i="1"/>
  <c r="CN37" i="1"/>
  <c r="CK37" i="1"/>
  <c r="BW37" i="1"/>
  <c r="BH37" i="1"/>
  <c r="BF37" i="1"/>
  <c r="BG37" i="1" s="1"/>
  <c r="BE37" i="1"/>
  <c r="AW37" i="1"/>
  <c r="BN37" i="1" s="1"/>
  <c r="BO37" i="1" s="1"/>
  <c r="AV37" i="1"/>
  <c r="AS37" i="1"/>
  <c r="AR37" i="1"/>
  <c r="AK37" i="1"/>
  <c r="AG37" i="1"/>
  <c r="AH37" i="1" s="1"/>
  <c r="AC37" i="1"/>
  <c r="Y37" i="1"/>
  <c r="V37" i="1" s="1"/>
  <c r="X37" i="1"/>
  <c r="W37" i="1"/>
  <c r="S37" i="1"/>
  <c r="R37" i="1"/>
  <c r="CY37" i="1" s="1"/>
  <c r="O37" i="1"/>
  <c r="P37" i="1" s="1"/>
  <c r="G37" i="1"/>
  <c r="H37" i="1" s="1"/>
  <c r="F37" i="1"/>
  <c r="CX36" i="1"/>
  <c r="CV36" i="1"/>
  <c r="CT36" i="1"/>
  <c r="CR36" i="1"/>
  <c r="CN36" i="1"/>
  <c r="CK36" i="1"/>
  <c r="CD36" i="1"/>
  <c r="BW36" i="1"/>
  <c r="BH36" i="1" s="1"/>
  <c r="BE36" i="1" s="1"/>
  <c r="BR36" i="1"/>
  <c r="BN36" i="1"/>
  <c r="BO36" i="1" s="1"/>
  <c r="BF36" i="1"/>
  <c r="BC36" i="1"/>
  <c r="AW36" i="1"/>
  <c r="AA36" i="1" s="1"/>
  <c r="AV36" i="1"/>
  <c r="AS36" i="1"/>
  <c r="AR36" i="1"/>
  <c r="AC36" i="1"/>
  <c r="Y36" i="1"/>
  <c r="W36" i="1"/>
  <c r="X36" i="1" s="1"/>
  <c r="V36" i="1"/>
  <c r="S36" i="1"/>
  <c r="R36" i="1"/>
  <c r="CY36" i="1" s="1"/>
  <c r="P36" i="1"/>
  <c r="O36" i="1"/>
  <c r="H36" i="1"/>
  <c r="G36" i="1"/>
  <c r="F36" i="1"/>
  <c r="I36" i="1" s="1"/>
  <c r="J36" i="1" s="1"/>
  <c r="E36" i="1"/>
  <c r="CR35" i="1"/>
  <c r="CN35" i="1"/>
  <c r="CK35" i="1"/>
  <c r="BW35" i="1"/>
  <c r="BN35" i="1"/>
  <c r="BO35" i="1" s="1"/>
  <c r="BH35" i="1"/>
  <c r="BE35" i="1" s="1"/>
  <c r="BF35" i="1"/>
  <c r="AW35" i="1"/>
  <c r="BR35" i="1" s="1"/>
  <c r="AV35" i="1"/>
  <c r="AS35" i="1"/>
  <c r="Y35" i="1" s="1"/>
  <c r="V35" i="1" s="1"/>
  <c r="X35" i="1" s="1"/>
  <c r="AR35" i="1"/>
  <c r="AA35" i="1"/>
  <c r="W35" i="1"/>
  <c r="S35" i="1"/>
  <c r="P35" i="1"/>
  <c r="O35" i="1"/>
  <c r="G35" i="1"/>
  <c r="F35" i="1"/>
  <c r="D35" i="1"/>
  <c r="D34" i="1" s="1"/>
  <c r="C35" i="1"/>
  <c r="CY34" i="1"/>
  <c r="CR34" i="1"/>
  <c r="CN34" i="1"/>
  <c r="CK34" i="1"/>
  <c r="BW34" i="1"/>
  <c r="BR34" i="1"/>
  <c r="BN34" i="1"/>
  <c r="BO34" i="1" s="1"/>
  <c r="BH34" i="1"/>
  <c r="BE34" i="1" s="1"/>
  <c r="BF34" i="1"/>
  <c r="AW34" i="1"/>
  <c r="AV34" i="1"/>
  <c r="AS34" i="1"/>
  <c r="Y34" i="1" s="1"/>
  <c r="V34" i="1" s="1"/>
  <c r="X34" i="1" s="1"/>
  <c r="AR34" i="1"/>
  <c r="AG34" i="1"/>
  <c r="AH34" i="1" s="1"/>
  <c r="AA34" i="1"/>
  <c r="W34" i="1"/>
  <c r="S34" i="1"/>
  <c r="AK34" i="1" s="1"/>
  <c r="R34" i="1"/>
  <c r="O34" i="1"/>
  <c r="P34" i="1" s="1"/>
  <c r="F34" i="1"/>
  <c r="C34" i="1"/>
  <c r="C33" i="1" s="1"/>
  <c r="CY33" i="1"/>
  <c r="CR33" i="1"/>
  <c r="CN33" i="1"/>
  <c r="CK33" i="1"/>
  <c r="BW33" i="1"/>
  <c r="BR33" i="1"/>
  <c r="BO33" i="1"/>
  <c r="BN33" i="1"/>
  <c r="BH33" i="1"/>
  <c r="BE33" i="1" s="1"/>
  <c r="BG33" i="1"/>
  <c r="BF33" i="1"/>
  <c r="AW33" i="1"/>
  <c r="AV33" i="1"/>
  <c r="AS33" i="1"/>
  <c r="Y33" i="1" s="1"/>
  <c r="V33" i="1" s="1"/>
  <c r="AR33" i="1"/>
  <c r="AG33" i="1"/>
  <c r="AH33" i="1" s="1"/>
  <c r="AA33" i="1"/>
  <c r="X33" i="1"/>
  <c r="W33" i="1"/>
  <c r="S33" i="1"/>
  <c r="AK33" i="1" s="1"/>
  <c r="R33" i="1"/>
  <c r="O33" i="1"/>
  <c r="P33" i="1" s="1"/>
  <c r="D33" i="1"/>
  <c r="G33" i="1" s="1"/>
  <c r="CY32" i="1"/>
  <c r="CR32" i="1"/>
  <c r="CN32" i="1"/>
  <c r="CK32" i="1"/>
  <c r="BW32" i="1"/>
  <c r="BH32" i="1" s="1"/>
  <c r="BE32" i="1" s="1"/>
  <c r="BG32" i="1" s="1"/>
  <c r="BR32" i="1"/>
  <c r="BF32" i="1"/>
  <c r="AW32" i="1"/>
  <c r="AG32" i="1" s="1"/>
  <c r="AH32" i="1" s="1"/>
  <c r="AV32" i="1"/>
  <c r="AS32" i="1"/>
  <c r="AR32" i="1"/>
  <c r="AC32" i="1"/>
  <c r="AA32" i="1"/>
  <c r="Y32" i="1"/>
  <c r="W32" i="1"/>
  <c r="X32" i="1" s="1"/>
  <c r="V32" i="1"/>
  <c r="S32" i="1"/>
  <c r="BN32" i="1" s="1"/>
  <c r="BO32" i="1" s="1"/>
  <c r="R32" i="1"/>
  <c r="P32" i="1"/>
  <c r="O32" i="1"/>
  <c r="G32" i="1"/>
  <c r="D32" i="1"/>
  <c r="D31" i="1" s="1"/>
  <c r="CR31" i="1"/>
  <c r="CN31" i="1"/>
  <c r="CK31" i="1"/>
  <c r="BW31" i="1"/>
  <c r="BH31" i="1"/>
  <c r="BF31" i="1"/>
  <c r="BE31" i="1"/>
  <c r="AW31" i="1"/>
  <c r="AK31" i="1" s="1"/>
  <c r="AV31" i="1"/>
  <c r="AS31" i="1"/>
  <c r="AR31" i="1"/>
  <c r="Y31" i="1"/>
  <c r="V31" i="1" s="1"/>
  <c r="X31" i="1" s="1"/>
  <c r="W31" i="1"/>
  <c r="S31" i="1"/>
  <c r="O31" i="1"/>
  <c r="P31" i="1" s="1"/>
  <c r="G31" i="1"/>
  <c r="CX29" i="1"/>
  <c r="CV29" i="1"/>
  <c r="CT29" i="1"/>
  <c r="CR29" i="1"/>
  <c r="CN29" i="1"/>
  <c r="CK29" i="1"/>
  <c r="CD29" i="1"/>
  <c r="BW29" i="1"/>
  <c r="BN29" i="1"/>
  <c r="BO29" i="1" s="1"/>
  <c r="BH29" i="1"/>
  <c r="BE29" i="1" s="1"/>
  <c r="BF29" i="1"/>
  <c r="AW29" i="1"/>
  <c r="BR29" i="1" s="1"/>
  <c r="AV29" i="1"/>
  <c r="AS29" i="1"/>
  <c r="AR29" i="1"/>
  <c r="AG29" i="1"/>
  <c r="AH29" i="1" s="1"/>
  <c r="AA29" i="1"/>
  <c r="Y29" i="1"/>
  <c r="V29" i="1" s="1"/>
  <c r="X29" i="1"/>
  <c r="W29" i="1"/>
  <c r="S29" i="1"/>
  <c r="AK29" i="1" s="1"/>
  <c r="R29" i="1"/>
  <c r="CY29" i="1" s="1"/>
  <c r="O29" i="1"/>
  <c r="P29" i="1" s="1"/>
  <c r="G29" i="1"/>
  <c r="F29" i="1"/>
  <c r="CR28" i="1"/>
  <c r="CN28" i="1"/>
  <c r="CK28" i="1"/>
  <c r="BW28" i="1"/>
  <c r="BH28" i="1"/>
  <c r="BE28" i="1" s="1"/>
  <c r="BG28" i="1" s="1"/>
  <c r="BF28" i="1"/>
  <c r="AW28" i="1"/>
  <c r="AV28" i="1"/>
  <c r="AS28" i="1"/>
  <c r="Y28" i="1" s="1"/>
  <c r="V28" i="1" s="1"/>
  <c r="AR28" i="1"/>
  <c r="AC28" i="1"/>
  <c r="W28" i="1"/>
  <c r="X28" i="1" s="1"/>
  <c r="S28" i="1"/>
  <c r="P28" i="1"/>
  <c r="O28" i="1"/>
  <c r="G28" i="1"/>
  <c r="E28" i="1" s="1"/>
  <c r="F28" i="1"/>
  <c r="CX27" i="1"/>
  <c r="CV27" i="1"/>
  <c r="CT27" i="1"/>
  <c r="CR27" i="1"/>
  <c r="CN27" i="1"/>
  <c r="CK27" i="1"/>
  <c r="CD27" i="1"/>
  <c r="BW27" i="1"/>
  <c r="BH27" i="1"/>
  <c r="BE27" i="1" s="1"/>
  <c r="BF27" i="1"/>
  <c r="BG27" i="1" s="1"/>
  <c r="AW27" i="1"/>
  <c r="AV27" i="1"/>
  <c r="AS27" i="1"/>
  <c r="AR27" i="1"/>
  <c r="AA27" i="1"/>
  <c r="Y27" i="1"/>
  <c r="V27" i="1" s="1"/>
  <c r="X27" i="1" s="1"/>
  <c r="W27" i="1"/>
  <c r="S27" i="1"/>
  <c r="O27" i="1"/>
  <c r="P27" i="1" s="1"/>
  <c r="J27" i="1"/>
  <c r="H27" i="1"/>
  <c r="G27" i="1"/>
  <c r="F27" i="1"/>
  <c r="I27" i="1" s="1"/>
  <c r="BC27" i="1" s="1"/>
  <c r="CX26" i="1"/>
  <c r="CV26" i="1"/>
  <c r="CT26" i="1"/>
  <c r="CR26" i="1"/>
  <c r="CN26" i="1"/>
  <c r="CK26" i="1"/>
  <c r="CD26" i="1"/>
  <c r="BW26" i="1"/>
  <c r="BH26" i="1" s="1"/>
  <c r="BR26" i="1"/>
  <c r="BN26" i="1"/>
  <c r="BO26" i="1" s="1"/>
  <c r="BG26" i="1"/>
  <c r="BF26" i="1"/>
  <c r="BE26" i="1"/>
  <c r="AW26" i="1"/>
  <c r="AV26" i="1"/>
  <c r="AS26" i="1"/>
  <c r="AR26" i="1"/>
  <c r="AK26" i="1"/>
  <c r="AG26" i="1"/>
  <c r="AH26" i="1" s="1"/>
  <c r="Y26" i="1"/>
  <c r="W26" i="1"/>
  <c r="V26" i="1"/>
  <c r="S26" i="1"/>
  <c r="O26" i="1"/>
  <c r="P26" i="1" s="1"/>
  <c r="I26" i="1"/>
  <c r="H26" i="1"/>
  <c r="G26" i="1"/>
  <c r="F26" i="1"/>
  <c r="E26" i="1" s="1"/>
  <c r="CX24" i="1"/>
  <c r="CV24" i="1"/>
  <c r="CT24" i="1"/>
  <c r="CR24" i="1"/>
  <c r="CN24" i="1"/>
  <c r="CK24" i="1"/>
  <c r="CD24" i="1"/>
  <c r="BW24" i="1"/>
  <c r="BH24" i="1" s="1"/>
  <c r="BE24" i="1" s="1"/>
  <c r="BF24" i="1"/>
  <c r="BG24" i="1" s="1"/>
  <c r="AW24" i="1"/>
  <c r="AV24" i="1"/>
  <c r="AS24" i="1"/>
  <c r="Y24" i="1" s="1"/>
  <c r="AR24" i="1"/>
  <c r="W24" i="1"/>
  <c r="V24" i="1"/>
  <c r="S24" i="1"/>
  <c r="P24" i="1"/>
  <c r="O24" i="1"/>
  <c r="H24" i="1"/>
  <c r="G24" i="1"/>
  <c r="I24" i="1" s="1"/>
  <c r="F24" i="1"/>
  <c r="E24" i="1"/>
  <c r="CX23" i="1"/>
  <c r="CV23" i="1"/>
  <c r="CT23" i="1"/>
  <c r="CR23" i="1"/>
  <c r="CN23" i="1"/>
  <c r="CK23" i="1"/>
  <c r="CD23" i="1"/>
  <c r="BW23" i="1"/>
  <c r="BH23" i="1" s="1"/>
  <c r="BE23" i="1" s="1"/>
  <c r="BF23" i="1"/>
  <c r="BG23" i="1" s="1"/>
  <c r="AW23" i="1"/>
  <c r="AC23" i="1" s="1"/>
  <c r="AV23" i="1"/>
  <c r="AS23" i="1"/>
  <c r="Y23" i="1" s="1"/>
  <c r="AR23" i="1"/>
  <c r="W23" i="1"/>
  <c r="X23" i="1" s="1"/>
  <c r="V23" i="1"/>
  <c r="S23" i="1"/>
  <c r="R23" i="1"/>
  <c r="CY23" i="1" s="1"/>
  <c r="P23" i="1"/>
  <c r="O23" i="1"/>
  <c r="G23" i="1"/>
  <c r="F23" i="1"/>
  <c r="CX22" i="1"/>
  <c r="CV22" i="1"/>
  <c r="CT22" i="1"/>
  <c r="CR22" i="1"/>
  <c r="CN22" i="1"/>
  <c r="CK22" i="1"/>
  <c r="CD22" i="1"/>
  <c r="BW22" i="1"/>
  <c r="BN22" i="1"/>
  <c r="BO22" i="1" s="1"/>
  <c r="BH22" i="1"/>
  <c r="BF22" i="1"/>
  <c r="BE22" i="1"/>
  <c r="BG22" i="1" s="1"/>
  <c r="AW22" i="1"/>
  <c r="AV22" i="1"/>
  <c r="AS22" i="1"/>
  <c r="AR22" i="1"/>
  <c r="AK22" i="1"/>
  <c r="AG22" i="1"/>
  <c r="AH22" i="1" s="1"/>
  <c r="Y22" i="1"/>
  <c r="W22" i="1"/>
  <c r="V22" i="1"/>
  <c r="S22" i="1"/>
  <c r="R22" i="1"/>
  <c r="O22" i="1"/>
  <c r="N22" i="1"/>
  <c r="G22" i="1"/>
  <c r="F22" i="1"/>
  <c r="CR21" i="1"/>
  <c r="CN21" i="1"/>
  <c r="CK21" i="1"/>
  <c r="BW21" i="1"/>
  <c r="BH21" i="1"/>
  <c r="BF21" i="1"/>
  <c r="BE21" i="1"/>
  <c r="AW21" i="1"/>
  <c r="AV21" i="1"/>
  <c r="AS21" i="1"/>
  <c r="Y21" i="1" s="1"/>
  <c r="V21" i="1" s="1"/>
  <c r="X21" i="1" s="1"/>
  <c r="AR21" i="1"/>
  <c r="AC21" i="1"/>
  <c r="W21" i="1"/>
  <c r="S21" i="1"/>
  <c r="P21" i="1"/>
  <c r="O21" i="1"/>
  <c r="G21" i="1"/>
  <c r="D21" i="1"/>
  <c r="D20" i="1" s="1"/>
  <c r="G20" i="1" s="1"/>
  <c r="C21" i="1"/>
  <c r="F21" i="1" s="1"/>
  <c r="CR20" i="1"/>
  <c r="CN20" i="1"/>
  <c r="CK20" i="1"/>
  <c r="BW20" i="1"/>
  <c r="BN20" i="1"/>
  <c r="BO20" i="1" s="1"/>
  <c r="BH20" i="1"/>
  <c r="BE20" i="1" s="1"/>
  <c r="BF20" i="1"/>
  <c r="AW20" i="1"/>
  <c r="BR20" i="1" s="1"/>
  <c r="AV20" i="1"/>
  <c r="AS20" i="1"/>
  <c r="Y20" i="1" s="1"/>
  <c r="V20" i="1" s="1"/>
  <c r="X20" i="1" s="1"/>
  <c r="AR20" i="1"/>
  <c r="AG20" i="1"/>
  <c r="AH20" i="1" s="1"/>
  <c r="AA20" i="1"/>
  <c r="W20" i="1"/>
  <c r="S20" i="1"/>
  <c r="AK20" i="1" s="1"/>
  <c r="R20" i="1"/>
  <c r="CY20" i="1" s="1"/>
  <c r="O20" i="1"/>
  <c r="P20" i="1" s="1"/>
  <c r="F20" i="1"/>
  <c r="I20" i="1" s="1"/>
  <c r="J20" i="1" s="1"/>
  <c r="Q20" i="1" s="1"/>
  <c r="E20" i="1"/>
  <c r="C20" i="1"/>
  <c r="CR19" i="1"/>
  <c r="CN19" i="1"/>
  <c r="CK19" i="1"/>
  <c r="BW19" i="1"/>
  <c r="BH19" i="1" s="1"/>
  <c r="BE19" i="1" s="1"/>
  <c r="BG19" i="1" s="1"/>
  <c r="BR19" i="1"/>
  <c r="BO19" i="1"/>
  <c r="BN19" i="1"/>
  <c r="BF19" i="1"/>
  <c r="AW19" i="1"/>
  <c r="AV19" i="1"/>
  <c r="AS19" i="1"/>
  <c r="AR19" i="1"/>
  <c r="AG19" i="1"/>
  <c r="AH19" i="1" s="1"/>
  <c r="AA19" i="1"/>
  <c r="Y19" i="1"/>
  <c r="V19" i="1" s="1"/>
  <c r="W19" i="1"/>
  <c r="S19" i="1"/>
  <c r="AK19" i="1" s="1"/>
  <c r="R19" i="1"/>
  <c r="CY19" i="1" s="1"/>
  <c r="O19" i="1"/>
  <c r="P19" i="1" s="1"/>
  <c r="D19" i="1"/>
  <c r="G19" i="1" s="1"/>
  <c r="C19" i="1"/>
  <c r="C18" i="1" s="1"/>
  <c r="CR18" i="1"/>
  <c r="CN18" i="1"/>
  <c r="CK18" i="1"/>
  <c r="BW18" i="1"/>
  <c r="BH18" i="1" s="1"/>
  <c r="BE18" i="1" s="1"/>
  <c r="BG18" i="1" s="1"/>
  <c r="BR18" i="1"/>
  <c r="BF18" i="1"/>
  <c r="AW18" i="1"/>
  <c r="R18" i="1" s="1"/>
  <c r="CY18" i="1" s="1"/>
  <c r="AV18" i="1"/>
  <c r="AS18" i="1"/>
  <c r="AR18" i="1"/>
  <c r="AK18" i="1"/>
  <c r="AC18" i="1"/>
  <c r="Y18" i="1"/>
  <c r="V18" i="1" s="1"/>
  <c r="X18" i="1"/>
  <c r="W18" i="1"/>
  <c r="S18" i="1"/>
  <c r="P18" i="1"/>
  <c r="O18" i="1"/>
  <c r="D18" i="1"/>
  <c r="D17" i="1" s="1"/>
  <c r="CR17" i="1"/>
  <c r="CN17" i="1"/>
  <c r="CK17" i="1"/>
  <c r="BW17" i="1"/>
  <c r="BR17" i="1"/>
  <c r="BH17" i="1"/>
  <c r="BF17" i="1"/>
  <c r="BE17" i="1"/>
  <c r="AW17" i="1"/>
  <c r="AV17" i="1"/>
  <c r="AS17" i="1"/>
  <c r="Y17" i="1" s="1"/>
  <c r="AR17" i="1"/>
  <c r="AC17" i="1"/>
  <c r="W17" i="1"/>
  <c r="V17" i="1"/>
  <c r="X17" i="1" s="1"/>
  <c r="S17" i="1"/>
  <c r="P17" i="1"/>
  <c r="O17" i="1"/>
  <c r="CR16" i="1"/>
  <c r="CN16" i="1"/>
  <c r="CK16" i="1"/>
  <c r="BW16" i="1"/>
  <c r="BN16" i="1"/>
  <c r="BO16" i="1" s="1"/>
  <c r="BH16" i="1"/>
  <c r="BE16" i="1" s="1"/>
  <c r="BF16" i="1"/>
  <c r="AW16" i="1"/>
  <c r="BR16" i="1" s="1"/>
  <c r="AV16" i="1"/>
  <c r="AS16" i="1"/>
  <c r="AR16" i="1"/>
  <c r="AG16" i="1"/>
  <c r="AH16" i="1" s="1"/>
  <c r="AA16" i="1"/>
  <c r="Y16" i="1"/>
  <c r="W16" i="1"/>
  <c r="V16" i="1"/>
  <c r="X16" i="1" s="1"/>
  <c r="S16" i="1"/>
  <c r="AK16" i="1" s="1"/>
  <c r="R16" i="1"/>
  <c r="CY16" i="1" s="1"/>
  <c r="O16" i="1"/>
  <c r="P16" i="1" s="1"/>
  <c r="CR15" i="1"/>
  <c r="CN15" i="1"/>
  <c r="CK15" i="1"/>
  <c r="BW15" i="1"/>
  <c r="BH15" i="1" s="1"/>
  <c r="BE15" i="1" s="1"/>
  <c r="BR15" i="1"/>
  <c r="BO15" i="1"/>
  <c r="BN15" i="1"/>
  <c r="BF15" i="1"/>
  <c r="BG15" i="1" s="1"/>
  <c r="AW15" i="1"/>
  <c r="AV15" i="1"/>
  <c r="AS15" i="1"/>
  <c r="AR15" i="1"/>
  <c r="AH15" i="1"/>
  <c r="AG15" i="1"/>
  <c r="AA15" i="1"/>
  <c r="Y15" i="1"/>
  <c r="V15" i="1" s="1"/>
  <c r="W15" i="1"/>
  <c r="S15" i="1"/>
  <c r="AK15" i="1" s="1"/>
  <c r="R15" i="1"/>
  <c r="CY15" i="1" s="1"/>
  <c r="O15" i="1"/>
  <c r="P15" i="1" s="1"/>
  <c r="CR14" i="1"/>
  <c r="CN14" i="1"/>
  <c r="CK14" i="1"/>
  <c r="BW14" i="1"/>
  <c r="BH14" i="1" s="1"/>
  <c r="BE14" i="1" s="1"/>
  <c r="BG14" i="1" s="1"/>
  <c r="BF14" i="1"/>
  <c r="AW14" i="1"/>
  <c r="AV14" i="1"/>
  <c r="AS14" i="1"/>
  <c r="AR14" i="1"/>
  <c r="Y14" i="1"/>
  <c r="V14" i="1" s="1"/>
  <c r="W14" i="1"/>
  <c r="X14" i="1" s="1"/>
  <c r="S14" i="1"/>
  <c r="R14" i="1"/>
  <c r="CY14" i="1" s="1"/>
  <c r="P14" i="1"/>
  <c r="O14" i="1"/>
  <c r="CR13" i="1"/>
  <c r="CN13" i="1"/>
  <c r="CK13" i="1"/>
  <c r="BW13" i="1"/>
  <c r="BR13" i="1"/>
  <c r="BH13" i="1"/>
  <c r="BF13" i="1"/>
  <c r="BE13" i="1"/>
  <c r="AW13" i="1"/>
  <c r="AV13" i="1"/>
  <c r="AS13" i="1"/>
  <c r="Y13" i="1" s="1"/>
  <c r="AR13" i="1"/>
  <c r="AC13" i="1"/>
  <c r="AA13" i="1"/>
  <c r="W13" i="1"/>
  <c r="V13" i="1"/>
  <c r="X13" i="1" s="1"/>
  <c r="S13" i="1"/>
  <c r="P13" i="1"/>
  <c r="O13" i="1"/>
  <c r="CX11" i="1"/>
  <c r="CV11" i="1"/>
  <c r="CT11" i="1"/>
  <c r="CR11" i="1"/>
  <c r="CN11" i="1"/>
  <c r="CK11" i="1"/>
  <c r="CD11" i="1"/>
  <c r="BW11" i="1"/>
  <c r="BH11" i="1"/>
  <c r="BF11" i="1"/>
  <c r="BG11" i="1" s="1"/>
  <c r="BE11" i="1"/>
  <c r="AW11" i="1"/>
  <c r="AV11" i="1"/>
  <c r="AS11" i="1"/>
  <c r="Y11" i="1" s="1"/>
  <c r="V11" i="1" s="1"/>
  <c r="X11" i="1" s="1"/>
  <c r="AR11" i="1"/>
  <c r="W11" i="1"/>
  <c r="S11" i="1"/>
  <c r="O11" i="1"/>
  <c r="P11" i="1" s="1"/>
  <c r="H11" i="1"/>
  <c r="G11" i="1"/>
  <c r="I11" i="1" s="1"/>
  <c r="BC11" i="1" s="1"/>
  <c r="F11" i="1"/>
  <c r="CY10" i="1"/>
  <c r="CX10" i="1"/>
  <c r="CV10" i="1"/>
  <c r="CT10" i="1"/>
  <c r="CR10" i="1"/>
  <c r="CN10" i="1"/>
  <c r="CK10" i="1"/>
  <c r="CD10" i="1"/>
  <c r="BW10" i="1"/>
  <c r="BH10" i="1" s="1"/>
  <c r="BE10" i="1" s="1"/>
  <c r="BR10" i="1"/>
  <c r="BO10" i="1"/>
  <c r="BN10" i="1"/>
  <c r="BF10" i="1"/>
  <c r="BG10" i="1" s="1"/>
  <c r="AW10" i="1"/>
  <c r="AV10" i="1"/>
  <c r="AS10" i="1"/>
  <c r="AR10" i="1"/>
  <c r="AH10" i="1"/>
  <c r="AG10" i="1"/>
  <c r="AA10" i="1"/>
  <c r="Y10" i="1"/>
  <c r="W10" i="1"/>
  <c r="X10" i="1" s="1"/>
  <c r="V10" i="1"/>
  <c r="S10" i="1"/>
  <c r="AK10" i="1" s="1"/>
  <c r="R10" i="1"/>
  <c r="P10" i="1"/>
  <c r="O10" i="1"/>
  <c r="G10" i="1"/>
  <c r="F10" i="1"/>
  <c r="E10" i="1" s="1"/>
  <c r="CX9" i="1"/>
  <c r="CV9" i="1"/>
  <c r="CT9" i="1"/>
  <c r="CR9" i="1"/>
  <c r="CN9" i="1"/>
  <c r="CK9" i="1"/>
  <c r="CD9" i="1"/>
  <c r="BW9" i="1"/>
  <c r="BH9" i="1" s="1"/>
  <c r="BE9" i="1" s="1"/>
  <c r="BG9" i="1" s="1"/>
  <c r="BR9" i="1"/>
  <c r="BF9" i="1"/>
  <c r="AW9" i="1"/>
  <c r="AV9" i="1"/>
  <c r="AS9" i="1"/>
  <c r="Y9" i="1" s="1"/>
  <c r="V9" i="1" s="1"/>
  <c r="AR9" i="1"/>
  <c r="AK9" i="1"/>
  <c r="AC9" i="1"/>
  <c r="AA9" i="1"/>
  <c r="W9" i="1"/>
  <c r="X9" i="1" s="1"/>
  <c r="S9" i="1"/>
  <c r="P9" i="1"/>
  <c r="O9" i="1"/>
  <c r="I9" i="1"/>
  <c r="G9" i="1"/>
  <c r="H9" i="1" s="1"/>
  <c r="F9" i="1"/>
  <c r="CX8" i="1"/>
  <c r="CV8" i="1"/>
  <c r="CT8" i="1"/>
  <c r="CR8" i="1"/>
  <c r="CN8" i="1"/>
  <c r="CK8" i="1"/>
  <c r="CD8" i="1"/>
  <c r="BW8" i="1"/>
  <c r="BN8" i="1"/>
  <c r="BO8" i="1" s="1"/>
  <c r="BH8" i="1"/>
  <c r="BE8" i="1" s="1"/>
  <c r="BF8" i="1"/>
  <c r="BC8" i="1"/>
  <c r="BD8" i="1" s="1"/>
  <c r="AW8" i="1"/>
  <c r="BR8" i="1" s="1"/>
  <c r="AV8" i="1"/>
  <c r="AS8" i="1"/>
  <c r="AR8" i="1"/>
  <c r="AG8" i="1"/>
  <c r="AH8" i="1" s="1"/>
  <c r="AA8" i="1"/>
  <c r="Y8" i="1"/>
  <c r="V8" i="1" s="1"/>
  <c r="X8" i="1" s="1"/>
  <c r="W8" i="1"/>
  <c r="S8" i="1"/>
  <c r="AK8" i="1" s="1"/>
  <c r="R8" i="1"/>
  <c r="CY8" i="1" s="1"/>
  <c r="Q8" i="1"/>
  <c r="O8" i="1"/>
  <c r="P8" i="1" s="1"/>
  <c r="J8" i="1"/>
  <c r="G8" i="1"/>
  <c r="F8" i="1"/>
  <c r="I8" i="1" s="1"/>
  <c r="CR7" i="1"/>
  <c r="CN7" i="1"/>
  <c r="CK7" i="1"/>
  <c r="BW7" i="1"/>
  <c r="BH7" i="1" s="1"/>
  <c r="BE7" i="1" s="1"/>
  <c r="BG7" i="1" s="1"/>
  <c r="BF7" i="1"/>
  <c r="AW7" i="1"/>
  <c r="BR7" i="1" s="1"/>
  <c r="AV7" i="1"/>
  <c r="AS7" i="1"/>
  <c r="Y7" i="1" s="1"/>
  <c r="V7" i="1" s="1"/>
  <c r="AR7" i="1"/>
  <c r="W7" i="1"/>
  <c r="X7" i="1" s="1"/>
  <c r="S7" i="1"/>
  <c r="R7" i="1"/>
  <c r="CY7" i="1" s="1"/>
  <c r="P7" i="1"/>
  <c r="O7" i="1"/>
  <c r="CR6" i="1"/>
  <c r="CN6" i="1"/>
  <c r="CK6" i="1"/>
  <c r="BW6" i="1"/>
  <c r="BR6" i="1"/>
  <c r="BH6" i="1"/>
  <c r="BF6" i="1"/>
  <c r="BG6" i="1" s="1"/>
  <c r="BE6" i="1"/>
  <c r="AW6" i="1"/>
  <c r="AV6" i="1"/>
  <c r="AS6" i="1"/>
  <c r="Y6" i="1" s="1"/>
  <c r="V6" i="1" s="1"/>
  <c r="X6" i="1" s="1"/>
  <c r="AR6" i="1"/>
  <c r="AK6" i="1"/>
  <c r="AC6" i="1"/>
  <c r="AA6" i="1"/>
  <c r="W6" i="1"/>
  <c r="S6" i="1"/>
  <c r="P6" i="1"/>
  <c r="O6" i="1"/>
  <c r="CY5" i="1"/>
  <c r="CR5" i="1"/>
  <c r="CN5" i="1"/>
  <c r="CK5" i="1"/>
  <c r="BW5" i="1"/>
  <c r="BN5" i="1"/>
  <c r="BO5" i="1" s="1"/>
  <c r="BH5" i="1"/>
  <c r="BE5" i="1" s="1"/>
  <c r="BF5" i="1"/>
  <c r="BG5" i="1" s="1"/>
  <c r="AW5" i="1"/>
  <c r="BR5" i="1" s="1"/>
  <c r="AV5" i="1"/>
  <c r="AS5" i="1"/>
  <c r="Y5" i="1" s="1"/>
  <c r="V5" i="1" s="1"/>
  <c r="AR5" i="1"/>
  <c r="AG5" i="1"/>
  <c r="AH5" i="1" s="1"/>
  <c r="AA5" i="1"/>
  <c r="X5" i="1"/>
  <c r="W5" i="1"/>
  <c r="S5" i="1"/>
  <c r="AK5" i="1" s="1"/>
  <c r="R5" i="1"/>
  <c r="P5" i="1"/>
  <c r="O5" i="1"/>
  <c r="CY3" i="1"/>
  <c r="CR3" i="1"/>
  <c r="CN3" i="1"/>
  <c r="CK3" i="1"/>
  <c r="BW3" i="1"/>
  <c r="BN3" i="1"/>
  <c r="BO3" i="1" s="1"/>
  <c r="BH3" i="1"/>
  <c r="BF3" i="1"/>
  <c r="BG3" i="1" s="1"/>
  <c r="BE3" i="1"/>
  <c r="AW3" i="1"/>
  <c r="AA3" i="1" s="1"/>
  <c r="AV3" i="1"/>
  <c r="AS3" i="1"/>
  <c r="AR3" i="1"/>
  <c r="Y3" i="1"/>
  <c r="W3" i="1"/>
  <c r="V3" i="1"/>
  <c r="X3" i="1" s="1"/>
  <c r="S3" i="1"/>
  <c r="AK3" i="1" s="1"/>
  <c r="R3" i="1"/>
  <c r="P3" i="1"/>
  <c r="O3" i="1"/>
  <c r="CT2" i="1"/>
  <c r="BR14" i="1" l="1"/>
  <c r="AC14" i="1"/>
  <c r="AK14" i="1"/>
  <c r="AE8" i="1"/>
  <c r="AF8" i="1" s="1"/>
  <c r="Z8" i="1"/>
  <c r="D16" i="1"/>
  <c r="G17" i="1"/>
  <c r="AC11" i="1"/>
  <c r="AK11" i="1"/>
  <c r="AG11" i="1"/>
  <c r="AH11" i="1" s="1"/>
  <c r="BC9" i="1"/>
  <c r="J9" i="1"/>
  <c r="AE20" i="1"/>
  <c r="AF20" i="1" s="1"/>
  <c r="Z20" i="1"/>
  <c r="AK7" i="1"/>
  <c r="H10" i="1"/>
  <c r="E11" i="1"/>
  <c r="BG13" i="1"/>
  <c r="AA14" i="1"/>
  <c r="AG14" i="1"/>
  <c r="AH14" i="1" s="1"/>
  <c r="BN14" i="1"/>
  <c r="BO14" i="1" s="1"/>
  <c r="BG17" i="1"/>
  <c r="G18" i="1"/>
  <c r="BC20" i="1"/>
  <c r="BD20" i="1" s="1"/>
  <c r="AA21" i="1"/>
  <c r="AG21" i="1"/>
  <c r="AH21" i="1" s="1"/>
  <c r="BR21" i="1"/>
  <c r="R21" i="1"/>
  <c r="CY21" i="1" s="1"/>
  <c r="I23" i="1"/>
  <c r="H23" i="1"/>
  <c r="E23" i="1"/>
  <c r="F18" i="1"/>
  <c r="C17" i="1"/>
  <c r="AG6" i="1"/>
  <c r="AH6" i="1" s="1"/>
  <c r="R6" i="1"/>
  <c r="CY6" i="1" s="1"/>
  <c r="E8" i="1"/>
  <c r="BG8" i="1"/>
  <c r="BL8" i="1" s="1"/>
  <c r="BM8" i="1" s="1"/>
  <c r="I10" i="1"/>
  <c r="R11" i="1"/>
  <c r="CY11" i="1" s="1"/>
  <c r="BR11" i="1"/>
  <c r="BG16" i="1"/>
  <c r="F19" i="1"/>
  <c r="BG20" i="1"/>
  <c r="X22" i="1"/>
  <c r="AG3" i="1"/>
  <c r="AH3" i="1" s="1"/>
  <c r="AG13" i="1"/>
  <c r="AH13" i="1" s="1"/>
  <c r="R13" i="1"/>
  <c r="CY13" i="1" s="1"/>
  <c r="AG17" i="1"/>
  <c r="AH17" i="1" s="1"/>
  <c r="R17" i="1"/>
  <c r="CY17" i="1" s="1"/>
  <c r="BR3" i="1"/>
  <c r="AC7" i="1"/>
  <c r="I22" i="1"/>
  <c r="H22" i="1"/>
  <c r="J24" i="1"/>
  <c r="Q24" i="1" s="1"/>
  <c r="BC24" i="1"/>
  <c r="BN6" i="1"/>
  <c r="BO6" i="1" s="1"/>
  <c r="H8" i="1"/>
  <c r="E9" i="1"/>
  <c r="BN9" i="1"/>
  <c r="BO9" i="1" s="1"/>
  <c r="R9" i="1"/>
  <c r="CY9" i="1" s="1"/>
  <c r="AG9" i="1"/>
  <c r="AH9" i="1" s="1"/>
  <c r="J11" i="1"/>
  <c r="Q11" i="1" s="1"/>
  <c r="AA11" i="1"/>
  <c r="BN11" i="1"/>
  <c r="BO11" i="1" s="1"/>
  <c r="AK13" i="1"/>
  <c r="AK17" i="1"/>
  <c r="E21" i="1"/>
  <c r="I21" i="1"/>
  <c r="H21" i="1"/>
  <c r="AK21" i="1"/>
  <c r="BN21" i="1"/>
  <c r="BO21" i="1" s="1"/>
  <c r="H29" i="1"/>
  <c r="I29" i="1"/>
  <c r="E29" i="1"/>
  <c r="BN13" i="1"/>
  <c r="BO13" i="1" s="1"/>
  <c r="X15" i="1"/>
  <c r="BN17" i="1"/>
  <c r="BO17" i="1" s="1"/>
  <c r="AC3" i="1"/>
  <c r="AA7" i="1"/>
  <c r="AG7" i="1"/>
  <c r="AH7" i="1" s="1"/>
  <c r="BN7" i="1"/>
  <c r="BO7" i="1" s="1"/>
  <c r="AA17" i="1"/>
  <c r="X19" i="1"/>
  <c r="R24" i="1"/>
  <c r="CY24" i="1" s="1"/>
  <c r="AG24" i="1"/>
  <c r="AH24" i="1" s="1"/>
  <c r="BR24" i="1"/>
  <c r="AC24" i="1"/>
  <c r="AA24" i="1"/>
  <c r="BN24" i="1"/>
  <c r="BO24" i="1" s="1"/>
  <c r="AK24" i="1"/>
  <c r="BN18" i="1"/>
  <c r="BO18" i="1" s="1"/>
  <c r="E22" i="1"/>
  <c r="I28" i="1"/>
  <c r="BG21" i="1"/>
  <c r="BN23" i="1"/>
  <c r="BO23" i="1" s="1"/>
  <c r="Z39" i="1"/>
  <c r="AE39" i="1"/>
  <c r="AF39" i="1" s="1"/>
  <c r="AC5" i="1"/>
  <c r="AC8" i="1"/>
  <c r="AC16" i="1"/>
  <c r="AG18" i="1"/>
  <c r="AH18" i="1" s="1"/>
  <c r="AC20" i="1"/>
  <c r="X24" i="1"/>
  <c r="BC26" i="1"/>
  <c r="J26" i="1"/>
  <c r="AA26" i="1"/>
  <c r="R26" i="1"/>
  <c r="CY26" i="1" s="1"/>
  <c r="AC26" i="1"/>
  <c r="BR27" i="1"/>
  <c r="AG27" i="1"/>
  <c r="AH27" i="1" s="1"/>
  <c r="AC27" i="1"/>
  <c r="R27" i="1"/>
  <c r="CY27" i="1" s="1"/>
  <c r="BN27" i="1"/>
  <c r="BO27" i="1" s="1"/>
  <c r="AG28" i="1"/>
  <c r="AH28" i="1" s="1"/>
  <c r="BN28" i="1"/>
  <c r="BO28" i="1" s="1"/>
  <c r="AK28" i="1"/>
  <c r="AA28" i="1"/>
  <c r="H35" i="1"/>
  <c r="G34" i="1"/>
  <c r="H34" i="1" s="1"/>
  <c r="E35" i="1"/>
  <c r="H20" i="1"/>
  <c r="AA22" i="1"/>
  <c r="BR22" i="1"/>
  <c r="AC10" i="1"/>
  <c r="AC15" i="1"/>
  <c r="AA18" i="1"/>
  <c r="AC19" i="1"/>
  <c r="CY22" i="1"/>
  <c r="P22" i="1"/>
  <c r="BR23" i="1"/>
  <c r="AG23" i="1"/>
  <c r="AH23" i="1" s="1"/>
  <c r="R28" i="1"/>
  <c r="CY28" i="1" s="1"/>
  <c r="BR28" i="1"/>
  <c r="R31" i="1"/>
  <c r="CY31" i="1" s="1"/>
  <c r="BR31" i="1"/>
  <c r="AG31" i="1"/>
  <c r="AH31" i="1" s="1"/>
  <c r="AC31" i="1"/>
  <c r="BN31" i="1"/>
  <c r="BO31" i="1" s="1"/>
  <c r="AA31" i="1"/>
  <c r="AC22" i="1"/>
  <c r="AA23" i="1"/>
  <c r="AK23" i="1"/>
  <c r="E27" i="1"/>
  <c r="AK27" i="1"/>
  <c r="BD36" i="1"/>
  <c r="BG29" i="1"/>
  <c r="BD40" i="1"/>
  <c r="BC38" i="1"/>
  <c r="BD38" i="1" s="1"/>
  <c r="J38" i="1"/>
  <c r="I50" i="1"/>
  <c r="H50" i="1"/>
  <c r="E50" i="1"/>
  <c r="BG31" i="1"/>
  <c r="F33" i="1"/>
  <c r="C32" i="1"/>
  <c r="X26" i="1"/>
  <c r="H28" i="1"/>
  <c r="AK32" i="1"/>
  <c r="AK35" i="1"/>
  <c r="BG35" i="1"/>
  <c r="I34" i="1"/>
  <c r="AA38" i="1"/>
  <c r="BR38" i="1"/>
  <c r="BN38" i="1"/>
  <c r="BO38" i="1" s="1"/>
  <c r="R38" i="1"/>
  <c r="CY38" i="1" s="1"/>
  <c r="AC38" i="1"/>
  <c r="AK38" i="1"/>
  <c r="AG38" i="1"/>
  <c r="AH38" i="1" s="1"/>
  <c r="BI39" i="1"/>
  <c r="BL39" i="1"/>
  <c r="BM39" i="1" s="1"/>
  <c r="C45" i="1"/>
  <c r="F46" i="1"/>
  <c r="AC35" i="1"/>
  <c r="BG36" i="1"/>
  <c r="AC41" i="1"/>
  <c r="AC29" i="1"/>
  <c r="I35" i="1"/>
  <c r="AG35" i="1"/>
  <c r="AH35" i="1" s="1"/>
  <c r="R35" i="1"/>
  <c r="CY35" i="1" s="1"/>
  <c r="AG36" i="1"/>
  <c r="AH36" i="1" s="1"/>
  <c r="AK36" i="1"/>
  <c r="AK52" i="1"/>
  <c r="AA48" i="1"/>
  <c r="AK48" i="1"/>
  <c r="AG48" i="1"/>
  <c r="AH48" i="1" s="1"/>
  <c r="AC52" i="1"/>
  <c r="BG34" i="1"/>
  <c r="Q36" i="1"/>
  <c r="P41" i="1"/>
  <c r="CY41" i="1"/>
  <c r="H48" i="1"/>
  <c r="E48" i="1"/>
  <c r="I48" i="1"/>
  <c r="E37" i="1"/>
  <c r="I37" i="1"/>
  <c r="E38" i="1"/>
  <c r="H38" i="1"/>
  <c r="BG44" i="1"/>
  <c r="BG46" i="1"/>
  <c r="G51" i="1"/>
  <c r="D46" i="1"/>
  <c r="AC34" i="1"/>
  <c r="AA37" i="1"/>
  <c r="BR37" i="1"/>
  <c r="AG40" i="1"/>
  <c r="AH40" i="1" s="1"/>
  <c r="R40" i="1"/>
  <c r="I41" i="1"/>
  <c r="E41" i="1"/>
  <c r="BN41" i="1"/>
  <c r="BO41" i="1" s="1"/>
  <c r="BR41" i="1"/>
  <c r="BN50" i="1"/>
  <c r="BO50" i="1" s="1"/>
  <c r="R50" i="1"/>
  <c r="CY50" i="1" s="1"/>
  <c r="AA50" i="1"/>
  <c r="BR50" i="1"/>
  <c r="AK50" i="1"/>
  <c r="AC50" i="1"/>
  <c r="AC33" i="1"/>
  <c r="X40" i="1"/>
  <c r="AK40" i="1"/>
  <c r="H41" i="1"/>
  <c r="AK41" i="1"/>
  <c r="BG47" i="1"/>
  <c r="X48" i="1"/>
  <c r="E49" i="1"/>
  <c r="I49" i="1"/>
  <c r="X49" i="1"/>
  <c r="E52" i="1"/>
  <c r="I52" i="1"/>
  <c r="H52" i="1"/>
  <c r="AC39" i="1"/>
  <c r="AK39" i="1"/>
  <c r="AA44" i="1"/>
  <c r="BR44" i="1"/>
  <c r="BR47" i="1"/>
  <c r="BN48" i="1"/>
  <c r="BO48" i="1" s="1"/>
  <c r="BR48" i="1"/>
  <c r="BG50" i="1"/>
  <c r="AA46" i="1"/>
  <c r="BR46" i="1"/>
  <c r="AC48" i="1"/>
  <c r="X52" i="1"/>
  <c r="I47" i="1"/>
  <c r="E47" i="1"/>
  <c r="AA52" i="1"/>
  <c r="BR52" i="1"/>
  <c r="BN52" i="1"/>
  <c r="BO52" i="1" s="1"/>
  <c r="R52" i="1"/>
  <c r="CY52" i="1" s="1"/>
  <c r="X50" i="1"/>
  <c r="AG43" i="1"/>
  <c r="AH43" i="1" s="1"/>
  <c r="AC45" i="1"/>
  <c r="AG49" i="1"/>
  <c r="AH49" i="1" s="1"/>
  <c r="AC51" i="1"/>
  <c r="AK51" i="1"/>
  <c r="AC43" i="1"/>
  <c r="AC49" i="1"/>
  <c r="BS8" i="1" l="1"/>
  <c r="BP8" i="1"/>
  <c r="BQ8" i="1" s="1"/>
  <c r="BI38" i="1"/>
  <c r="BL38" i="1"/>
  <c r="BM38" i="1" s="1"/>
  <c r="F17" i="1"/>
  <c r="C16" i="1"/>
  <c r="J49" i="1"/>
  <c r="Q49" i="1" s="1"/>
  <c r="BC49" i="1"/>
  <c r="BD49" i="1" s="1"/>
  <c r="BC37" i="1"/>
  <c r="BD37" i="1" s="1"/>
  <c r="J37" i="1"/>
  <c r="Q37" i="1" s="1"/>
  <c r="F32" i="1"/>
  <c r="C31" i="1"/>
  <c r="BD24" i="1"/>
  <c r="E18" i="1"/>
  <c r="H18" i="1"/>
  <c r="I18" i="1"/>
  <c r="AD20" i="1"/>
  <c r="AX20" i="1" s="1"/>
  <c r="AY20" i="1" s="1"/>
  <c r="AZ20" i="1" s="1"/>
  <c r="BA20" i="1" s="1"/>
  <c r="BB20" i="1" s="1"/>
  <c r="AB20" i="1"/>
  <c r="BC21" i="1"/>
  <c r="BD21" i="1" s="1"/>
  <c r="J21" i="1"/>
  <c r="Q21" i="1" s="1"/>
  <c r="AL8" i="1"/>
  <c r="AI8" i="1"/>
  <c r="AJ8" i="1" s="1"/>
  <c r="AE36" i="1"/>
  <c r="AF36" i="1" s="1"/>
  <c r="Z36" i="1"/>
  <c r="J41" i="1"/>
  <c r="Q41" i="1" s="1"/>
  <c r="BC41" i="1"/>
  <c r="BD41" i="1" s="1"/>
  <c r="BC35" i="1"/>
  <c r="BD35" i="1" s="1"/>
  <c r="J35" i="1"/>
  <c r="Q35" i="1" s="1"/>
  <c r="E51" i="1"/>
  <c r="H51" i="1"/>
  <c r="I46" i="1"/>
  <c r="H46" i="1"/>
  <c r="BL36" i="1"/>
  <c r="BM36" i="1" s="1"/>
  <c r="BI36" i="1"/>
  <c r="BC22" i="1"/>
  <c r="BD22" i="1" s="1"/>
  <c r="J22" i="1"/>
  <c r="Q22" i="1" s="1"/>
  <c r="I19" i="1"/>
  <c r="H19" i="1"/>
  <c r="E19" i="1"/>
  <c r="BI20" i="1"/>
  <c r="BL20" i="1"/>
  <c r="BM20" i="1" s="1"/>
  <c r="I33" i="1"/>
  <c r="E33" i="1"/>
  <c r="H33" i="1"/>
  <c r="BC48" i="1"/>
  <c r="BD48" i="1" s="1"/>
  <c r="J48" i="1"/>
  <c r="Q48" i="1" s="1"/>
  <c r="BC47" i="1"/>
  <c r="BD47" i="1" s="1"/>
  <c r="J47" i="1"/>
  <c r="Q47" i="1" s="1"/>
  <c r="Q40" i="1"/>
  <c r="CY40" i="1"/>
  <c r="C44" i="1"/>
  <c r="F45" i="1"/>
  <c r="E34" i="1"/>
  <c r="Q26" i="1"/>
  <c r="AL39" i="1"/>
  <c r="AI39" i="1"/>
  <c r="AJ39" i="1" s="1"/>
  <c r="BC29" i="1"/>
  <c r="BD29" i="1" s="1"/>
  <c r="J29" i="1"/>
  <c r="Q29" i="1" s="1"/>
  <c r="Q9" i="1"/>
  <c r="BC10" i="1"/>
  <c r="BD10" i="1" s="1"/>
  <c r="J10" i="1"/>
  <c r="Q10" i="1" s="1"/>
  <c r="AL20" i="1"/>
  <c r="AI20" i="1"/>
  <c r="AJ20" i="1" s="1"/>
  <c r="D45" i="1"/>
  <c r="G46" i="1"/>
  <c r="E46" i="1" s="1"/>
  <c r="BC52" i="1"/>
  <c r="BD52" i="1" s="1"/>
  <c r="J52" i="1"/>
  <c r="Q52" i="1" s="1"/>
  <c r="BS39" i="1"/>
  <c r="BP39" i="1"/>
  <c r="BQ39" i="1" s="1"/>
  <c r="BC50" i="1"/>
  <c r="BD50" i="1" s="1"/>
  <c r="J50" i="1"/>
  <c r="Q50" i="1" s="1"/>
  <c r="BD26" i="1"/>
  <c r="AB39" i="1"/>
  <c r="AD39" i="1"/>
  <c r="AX39" i="1" s="1"/>
  <c r="AY39" i="1" s="1"/>
  <c r="AZ39" i="1" s="1"/>
  <c r="BA39" i="1" s="1"/>
  <c r="BB39" i="1" s="1"/>
  <c r="BD9" i="1"/>
  <c r="BD11" i="1"/>
  <c r="BI40" i="1"/>
  <c r="BL40" i="1"/>
  <c r="BM40" i="1" s="1"/>
  <c r="Z24" i="1"/>
  <c r="AE24" i="1"/>
  <c r="AF24" i="1" s="1"/>
  <c r="AD8" i="1"/>
  <c r="AX8" i="1" s="1"/>
  <c r="AY8" i="1" s="1"/>
  <c r="AZ8" i="1" s="1"/>
  <c r="BA8" i="1" s="1"/>
  <c r="BB8" i="1" s="1"/>
  <c r="AB8" i="1"/>
  <c r="BC28" i="1"/>
  <c r="BD28" i="1" s="1"/>
  <c r="J28" i="1"/>
  <c r="Q28" i="1" s="1"/>
  <c r="I51" i="1"/>
  <c r="BJ39" i="1"/>
  <c r="BK39" i="1"/>
  <c r="BX39" i="1" s="1"/>
  <c r="BY39" i="1" s="1"/>
  <c r="BZ39" i="1" s="1"/>
  <c r="CA39" i="1" s="1"/>
  <c r="CB39" i="1" s="1"/>
  <c r="Q38" i="1"/>
  <c r="Q27" i="1"/>
  <c r="J23" i="1"/>
  <c r="Q23" i="1" s="1"/>
  <c r="BC23" i="1"/>
  <c r="BD23" i="1" s="1"/>
  <c r="BD27" i="1"/>
  <c r="BI8" i="1"/>
  <c r="J34" i="1"/>
  <c r="Q34" i="1" s="1"/>
  <c r="BC34" i="1"/>
  <c r="BD34" i="1" s="1"/>
  <c r="Z11" i="1"/>
  <c r="AE11" i="1"/>
  <c r="AF11" i="1" s="1"/>
  <c r="G16" i="1"/>
  <c r="D15" i="1"/>
  <c r="BI49" i="1" l="1"/>
  <c r="BL49" i="1"/>
  <c r="BM49" i="1" s="1"/>
  <c r="AE34" i="1"/>
  <c r="AF34" i="1" s="1"/>
  <c r="Z34" i="1"/>
  <c r="BP40" i="1"/>
  <c r="BQ40" i="1" s="1"/>
  <c r="BS40" i="1"/>
  <c r="BL50" i="1"/>
  <c r="BM50" i="1" s="1"/>
  <c r="BI50" i="1"/>
  <c r="AE26" i="1"/>
  <c r="AF26" i="1" s="1"/>
  <c r="Z26" i="1"/>
  <c r="Z48" i="1"/>
  <c r="AE48" i="1"/>
  <c r="AF48" i="1" s="1"/>
  <c r="AL36" i="1"/>
  <c r="AI36" i="1"/>
  <c r="AJ36" i="1" s="1"/>
  <c r="AE49" i="1"/>
  <c r="AF49" i="1" s="1"/>
  <c r="Z49" i="1"/>
  <c r="BC18" i="1"/>
  <c r="BD18" i="1" s="1"/>
  <c r="J18" i="1"/>
  <c r="Q18" i="1" s="1"/>
  <c r="BK8" i="1"/>
  <c r="BX8" i="1" s="1"/>
  <c r="BY8" i="1" s="1"/>
  <c r="BZ8" i="1" s="1"/>
  <c r="CA8" i="1" s="1"/>
  <c r="CB8" i="1" s="1"/>
  <c r="CF8" i="1" s="1"/>
  <c r="BJ8" i="1"/>
  <c r="BC51" i="1"/>
  <c r="BD51" i="1" s="1"/>
  <c r="J51" i="1"/>
  <c r="Q51" i="1" s="1"/>
  <c r="BK40" i="1"/>
  <c r="BX40" i="1" s="1"/>
  <c r="BY40" i="1" s="1"/>
  <c r="BZ40" i="1" s="1"/>
  <c r="CA40" i="1" s="1"/>
  <c r="CB40" i="1" s="1"/>
  <c r="CF40" i="1" s="1"/>
  <c r="CL40" i="1" s="1"/>
  <c r="BJ40" i="1"/>
  <c r="BU39" i="1"/>
  <c r="BV39" i="1" s="1"/>
  <c r="BT39" i="1"/>
  <c r="AE10" i="1"/>
  <c r="AF10" i="1" s="1"/>
  <c r="Z10" i="1"/>
  <c r="BL48" i="1"/>
  <c r="BM48" i="1" s="1"/>
  <c r="BI48" i="1"/>
  <c r="BC19" i="1"/>
  <c r="BD19" i="1" s="1"/>
  <c r="J19" i="1"/>
  <c r="Q19" i="1" s="1"/>
  <c r="AM8" i="1"/>
  <c r="AN8" i="1" s="1"/>
  <c r="AO8" i="1" s="1"/>
  <c r="F16" i="1"/>
  <c r="C15" i="1"/>
  <c r="AE50" i="1"/>
  <c r="AF50" i="1" s="1"/>
  <c r="Z50" i="1"/>
  <c r="BC46" i="1"/>
  <c r="BD46" i="1" s="1"/>
  <c r="J46" i="1"/>
  <c r="Q46" i="1" s="1"/>
  <c r="BL27" i="1"/>
  <c r="BM27" i="1" s="1"/>
  <c r="BI27" i="1"/>
  <c r="AE28" i="1"/>
  <c r="AF28" i="1" s="1"/>
  <c r="Z28" i="1"/>
  <c r="BL11" i="1"/>
  <c r="BM11" i="1" s="1"/>
  <c r="BI11" i="1"/>
  <c r="BL10" i="1"/>
  <c r="BM10" i="1" s="1"/>
  <c r="BI10" i="1"/>
  <c r="Z22" i="1"/>
  <c r="AE22" i="1"/>
  <c r="AF22" i="1" s="1"/>
  <c r="BL24" i="1"/>
  <c r="BM24" i="1" s="1"/>
  <c r="BI24" i="1"/>
  <c r="I17" i="1"/>
  <c r="H17" i="1"/>
  <c r="E17" i="1"/>
  <c r="AD36" i="1"/>
  <c r="AX36" i="1" s="1"/>
  <c r="AY36" i="1" s="1"/>
  <c r="AZ36" i="1" s="1"/>
  <c r="BA36" i="1" s="1"/>
  <c r="BB36" i="1" s="1"/>
  <c r="CC36" i="1" s="1"/>
  <c r="AB36" i="1"/>
  <c r="G15" i="1"/>
  <c r="BI23" i="1"/>
  <c r="BL23" i="1"/>
  <c r="BM23" i="1" s="1"/>
  <c r="BI28" i="1"/>
  <c r="BL28" i="1"/>
  <c r="BM28" i="1" s="1"/>
  <c r="BL9" i="1"/>
  <c r="BM9" i="1" s="1"/>
  <c r="BI9" i="1"/>
  <c r="Z52" i="1"/>
  <c r="AE52" i="1"/>
  <c r="AF52" i="1" s="1"/>
  <c r="AE9" i="1"/>
  <c r="AF9" i="1" s="1"/>
  <c r="Z9" i="1"/>
  <c r="C43" i="1"/>
  <c r="F43" i="1" s="1"/>
  <c r="F44" i="1"/>
  <c r="BL22" i="1"/>
  <c r="BM22" i="1" s="1"/>
  <c r="BI22" i="1"/>
  <c r="AE35" i="1"/>
  <c r="AF35" i="1" s="1"/>
  <c r="Z35" i="1"/>
  <c r="Z21" i="1"/>
  <c r="AE21" i="1"/>
  <c r="AF21" i="1" s="1"/>
  <c r="BS38" i="1"/>
  <c r="BP38" i="1"/>
  <c r="BQ38" i="1" s="1"/>
  <c r="Z23" i="1"/>
  <c r="AE23" i="1"/>
  <c r="AF23" i="1" s="1"/>
  <c r="CC39" i="1"/>
  <c r="BL52" i="1"/>
  <c r="BM52" i="1" s="1"/>
  <c r="BI52" i="1"/>
  <c r="Z29" i="1"/>
  <c r="AE29" i="1"/>
  <c r="AF29" i="1" s="1"/>
  <c r="BC33" i="1"/>
  <c r="BD33" i="1" s="1"/>
  <c r="J33" i="1"/>
  <c r="Q33" i="1" s="1"/>
  <c r="BK36" i="1"/>
  <c r="BX36" i="1" s="1"/>
  <c r="BY36" i="1" s="1"/>
  <c r="BZ36" i="1" s="1"/>
  <c r="CA36" i="1" s="1"/>
  <c r="CB36" i="1" s="1"/>
  <c r="BJ36" i="1"/>
  <c r="BI35" i="1"/>
  <c r="BL35" i="1"/>
  <c r="BM35" i="1" s="1"/>
  <c r="BL21" i="1"/>
  <c r="BM21" i="1" s="1"/>
  <c r="BI21" i="1"/>
  <c r="H32" i="1"/>
  <c r="F31" i="1"/>
  <c r="E32" i="1"/>
  <c r="E31" i="1" s="1"/>
  <c r="I32" i="1"/>
  <c r="BK38" i="1"/>
  <c r="BX38" i="1" s="1"/>
  <c r="BY38" i="1" s="1"/>
  <c r="BZ38" i="1" s="1"/>
  <c r="CA38" i="1" s="1"/>
  <c r="CB38" i="1" s="1"/>
  <c r="BJ38" i="1"/>
  <c r="BL34" i="1"/>
  <c r="BM34" i="1" s="1"/>
  <c r="BI34" i="1"/>
  <c r="BI47" i="1"/>
  <c r="BL47" i="1"/>
  <c r="BM47" i="1" s="1"/>
  <c r="AL11" i="1"/>
  <c r="AI11" i="1"/>
  <c r="AJ11" i="1" s="1"/>
  <c r="Z27" i="1"/>
  <c r="AE27" i="1"/>
  <c r="AF27" i="1" s="1"/>
  <c r="CE8" i="1"/>
  <c r="CC8" i="1"/>
  <c r="BI29" i="1"/>
  <c r="BL29" i="1"/>
  <c r="BM29" i="1" s="1"/>
  <c r="Z40" i="1"/>
  <c r="AE40" i="1"/>
  <c r="AF40" i="1" s="1"/>
  <c r="BP20" i="1"/>
  <c r="BQ20" i="1" s="1"/>
  <c r="BS20" i="1"/>
  <c r="BP36" i="1"/>
  <c r="BQ36" i="1" s="1"/>
  <c r="BS36" i="1"/>
  <c r="BL41" i="1"/>
  <c r="BM41" i="1" s="1"/>
  <c r="BI41" i="1"/>
  <c r="AE37" i="1"/>
  <c r="AF37" i="1" s="1"/>
  <c r="Z37" i="1"/>
  <c r="BT8" i="1"/>
  <c r="BU8" i="1" s="1"/>
  <c r="BV8" i="1" s="1"/>
  <c r="AD24" i="1"/>
  <c r="AX24" i="1" s="1"/>
  <c r="AY24" i="1" s="1"/>
  <c r="AZ24" i="1" s="1"/>
  <c r="BA24" i="1" s="1"/>
  <c r="BB24" i="1" s="1"/>
  <c r="AB24" i="1"/>
  <c r="AN20" i="1"/>
  <c r="AO20" i="1" s="1"/>
  <c r="AM20" i="1"/>
  <c r="AD11" i="1"/>
  <c r="AX11" i="1" s="1"/>
  <c r="AY11" i="1" s="1"/>
  <c r="AZ11" i="1" s="1"/>
  <c r="BA11" i="1" s="1"/>
  <c r="BB11" i="1" s="1"/>
  <c r="AB11" i="1"/>
  <c r="Z38" i="1"/>
  <c r="AE38" i="1"/>
  <c r="AF38" i="1" s="1"/>
  <c r="AL24" i="1"/>
  <c r="AI24" i="1"/>
  <c r="AJ24" i="1" s="1"/>
  <c r="BL26" i="1"/>
  <c r="BM26" i="1" s="1"/>
  <c r="BI26" i="1"/>
  <c r="G45" i="1"/>
  <c r="I45" i="1" s="1"/>
  <c r="D44" i="1"/>
  <c r="AM39" i="1"/>
  <c r="AN39" i="1"/>
  <c r="AO39" i="1" s="1"/>
  <c r="AE47" i="1"/>
  <c r="AF47" i="1" s="1"/>
  <c r="Z47" i="1"/>
  <c r="BK20" i="1"/>
  <c r="BX20" i="1" s="1"/>
  <c r="BY20" i="1" s="1"/>
  <c r="BZ20" i="1" s="1"/>
  <c r="CA20" i="1" s="1"/>
  <c r="CB20" i="1" s="1"/>
  <c r="CF20" i="1" s="1"/>
  <c r="CL20" i="1" s="1"/>
  <c r="BJ20" i="1"/>
  <c r="AE41" i="1"/>
  <c r="AF41" i="1" s="1"/>
  <c r="Z41" i="1"/>
  <c r="CE20" i="1"/>
  <c r="BI37" i="1"/>
  <c r="BL37" i="1"/>
  <c r="BM37" i="1" s="1"/>
  <c r="J45" i="1" l="1"/>
  <c r="Q45" i="1" s="1"/>
  <c r="BC45" i="1"/>
  <c r="BD45" i="1" s="1"/>
  <c r="BS21" i="1"/>
  <c r="BP21" i="1"/>
  <c r="BQ21" i="1" s="1"/>
  <c r="AD29" i="1"/>
  <c r="AX29" i="1" s="1"/>
  <c r="AY29" i="1" s="1"/>
  <c r="AZ29" i="1" s="1"/>
  <c r="BA29" i="1" s="1"/>
  <c r="BB29" i="1" s="1"/>
  <c r="AB29" i="1"/>
  <c r="AD9" i="1"/>
  <c r="AX9" i="1" s="1"/>
  <c r="AY9" i="1" s="1"/>
  <c r="AZ9" i="1" s="1"/>
  <c r="BA9" i="1" s="1"/>
  <c r="BB9" i="1" s="1"/>
  <c r="CC9" i="1" s="1"/>
  <c r="AB9" i="1"/>
  <c r="BC17" i="1"/>
  <c r="BD17" i="1" s="1"/>
  <c r="J17" i="1"/>
  <c r="Q17" i="1" s="1"/>
  <c r="BK50" i="1"/>
  <c r="BX50" i="1" s="1"/>
  <c r="BY50" i="1" s="1"/>
  <c r="BZ50" i="1" s="1"/>
  <c r="CA50" i="1" s="1"/>
  <c r="CB50" i="1" s="1"/>
  <c r="BJ50" i="1"/>
  <c r="CC20" i="1"/>
  <c r="AI38" i="1"/>
  <c r="AJ38" i="1" s="1"/>
  <c r="AL38" i="1"/>
  <c r="AL27" i="1"/>
  <c r="AI27" i="1"/>
  <c r="AJ27" i="1" s="1"/>
  <c r="BS35" i="1"/>
  <c r="BP35" i="1"/>
  <c r="BQ35" i="1" s="1"/>
  <c r="BK52" i="1"/>
  <c r="BX52" i="1" s="1"/>
  <c r="BY52" i="1" s="1"/>
  <c r="BZ52" i="1" s="1"/>
  <c r="CA52" i="1" s="1"/>
  <c r="CB52" i="1" s="1"/>
  <c r="BJ52" i="1"/>
  <c r="AD21" i="1"/>
  <c r="AX21" i="1" s="1"/>
  <c r="AY21" i="1" s="1"/>
  <c r="AZ21" i="1" s="1"/>
  <c r="BA21" i="1" s="1"/>
  <c r="BB21" i="1" s="1"/>
  <c r="AB21" i="1"/>
  <c r="AL9" i="1"/>
  <c r="AI9" i="1"/>
  <c r="AJ9" i="1" s="1"/>
  <c r="BK23" i="1"/>
  <c r="BX23" i="1" s="1"/>
  <c r="BY23" i="1" s="1"/>
  <c r="BZ23" i="1" s="1"/>
  <c r="CA23" i="1" s="1"/>
  <c r="CB23" i="1" s="1"/>
  <c r="CF23" i="1" s="1"/>
  <c r="CL23" i="1" s="1"/>
  <c r="BJ23" i="1"/>
  <c r="BK24" i="1"/>
  <c r="BX24" i="1" s="1"/>
  <c r="BY24" i="1" s="1"/>
  <c r="BZ24" i="1" s="1"/>
  <c r="CA24" i="1" s="1"/>
  <c r="CB24" i="1" s="1"/>
  <c r="CF24" i="1" s="1"/>
  <c r="CL24" i="1" s="1"/>
  <c r="BJ24" i="1"/>
  <c r="BS10" i="1"/>
  <c r="BP10" i="1"/>
  <c r="BQ10" i="1" s="1"/>
  <c r="BI46" i="1"/>
  <c r="BL46" i="1"/>
  <c r="BM46" i="1" s="1"/>
  <c r="BL19" i="1"/>
  <c r="BM19" i="1" s="1"/>
  <c r="BI19" i="1"/>
  <c r="AI49" i="1"/>
  <c r="AJ49" i="1" s="1"/>
  <c r="AL49" i="1"/>
  <c r="BS50" i="1"/>
  <c r="BP50" i="1"/>
  <c r="BQ50" i="1" s="1"/>
  <c r="AI47" i="1"/>
  <c r="AJ47" i="1" s="1"/>
  <c r="AL47" i="1"/>
  <c r="CI8" i="1"/>
  <c r="CG8" i="1"/>
  <c r="CZ8" i="1" s="1"/>
  <c r="AI21" i="1"/>
  <c r="AJ21" i="1" s="1"/>
  <c r="AL21" i="1"/>
  <c r="BS23" i="1"/>
  <c r="BP23" i="1"/>
  <c r="BQ23" i="1" s="1"/>
  <c r="BK10" i="1"/>
  <c r="BX10" i="1" s="1"/>
  <c r="BY10" i="1" s="1"/>
  <c r="BZ10" i="1" s="1"/>
  <c r="CA10" i="1" s="1"/>
  <c r="CB10" i="1" s="1"/>
  <c r="BJ10" i="1"/>
  <c r="AB49" i="1"/>
  <c r="AD49" i="1" s="1"/>
  <c r="AX49" i="1" s="1"/>
  <c r="AY49" i="1" s="1"/>
  <c r="AZ49" i="1" s="1"/>
  <c r="BA49" i="1" s="1"/>
  <c r="BB49" i="1" s="1"/>
  <c r="CI20" i="1"/>
  <c r="CG20" i="1"/>
  <c r="AD38" i="1"/>
  <c r="AX38" i="1" s="1"/>
  <c r="AY38" i="1" s="1"/>
  <c r="AZ38" i="1" s="1"/>
  <c r="BA38" i="1" s="1"/>
  <c r="BB38" i="1" s="1"/>
  <c r="CC38" i="1" s="1"/>
  <c r="AB38" i="1"/>
  <c r="BT20" i="1"/>
  <c r="BU20" i="1" s="1"/>
  <c r="BV20" i="1" s="1"/>
  <c r="AD27" i="1"/>
  <c r="AX27" i="1" s="1"/>
  <c r="AY27" i="1" s="1"/>
  <c r="AZ27" i="1" s="1"/>
  <c r="BA27" i="1" s="1"/>
  <c r="BB27" i="1" s="1"/>
  <c r="AB27" i="1"/>
  <c r="BK35" i="1"/>
  <c r="BX35" i="1" s="1"/>
  <c r="BY35" i="1" s="1"/>
  <c r="BZ35" i="1" s="1"/>
  <c r="CA35" i="1" s="1"/>
  <c r="CB35" i="1" s="1"/>
  <c r="BJ35" i="1"/>
  <c r="BS52" i="1"/>
  <c r="BP52" i="1"/>
  <c r="BQ52" i="1" s="1"/>
  <c r="AD35" i="1"/>
  <c r="AX35" i="1" s="1"/>
  <c r="AY35" i="1" s="1"/>
  <c r="AZ35" i="1" s="1"/>
  <c r="BA35" i="1" s="1"/>
  <c r="BB35" i="1" s="1"/>
  <c r="AB35" i="1"/>
  <c r="AI52" i="1"/>
  <c r="AJ52" i="1" s="1"/>
  <c r="AL52" i="1"/>
  <c r="BP24" i="1"/>
  <c r="BQ24" i="1" s="1"/>
  <c r="BS24" i="1"/>
  <c r="BK11" i="1"/>
  <c r="BX11" i="1" s="1"/>
  <c r="BY11" i="1" s="1"/>
  <c r="BZ11" i="1" s="1"/>
  <c r="CA11" i="1" s="1"/>
  <c r="CB11" i="1" s="1"/>
  <c r="CF11" i="1" s="1"/>
  <c r="CL11" i="1" s="1"/>
  <c r="BJ11" i="1"/>
  <c r="AD50" i="1"/>
  <c r="AX50" i="1" s="1"/>
  <c r="AY50" i="1" s="1"/>
  <c r="AZ50" i="1" s="1"/>
  <c r="BA50" i="1" s="1"/>
  <c r="BB50" i="1" s="1"/>
  <c r="CC50" i="1" s="1"/>
  <c r="AB50" i="1"/>
  <c r="BK48" i="1"/>
  <c r="BX48" i="1" s="1"/>
  <c r="BY48" i="1" s="1"/>
  <c r="BZ48" i="1" s="1"/>
  <c r="CA48" i="1" s="1"/>
  <c r="CB48" i="1" s="1"/>
  <c r="BJ48" i="1"/>
  <c r="AE51" i="1"/>
  <c r="AF51" i="1" s="1"/>
  <c r="Z51" i="1"/>
  <c r="AN36" i="1"/>
  <c r="AO36" i="1" s="1"/>
  <c r="AM36" i="1"/>
  <c r="BK37" i="1"/>
  <c r="BX37" i="1" s="1"/>
  <c r="BY37" i="1" s="1"/>
  <c r="BZ37" i="1" s="1"/>
  <c r="CA37" i="1" s="1"/>
  <c r="CB37" i="1" s="1"/>
  <c r="BJ37" i="1"/>
  <c r="BS34" i="1"/>
  <c r="BP34" i="1"/>
  <c r="BQ34" i="1" s="1"/>
  <c r="AD41" i="1"/>
  <c r="AX41" i="1" s="1"/>
  <c r="AY41" i="1" s="1"/>
  <c r="AZ41" i="1" s="1"/>
  <c r="BA41" i="1" s="1"/>
  <c r="BB41" i="1" s="1"/>
  <c r="AB41" i="1"/>
  <c r="D43" i="1"/>
  <c r="G44" i="1"/>
  <c r="AD37" i="1"/>
  <c r="AX37" i="1" s="1"/>
  <c r="AY37" i="1" s="1"/>
  <c r="AZ37" i="1" s="1"/>
  <c r="BA37" i="1" s="1"/>
  <c r="BB37" i="1" s="1"/>
  <c r="CC37" i="1" s="1"/>
  <c r="AB37" i="1"/>
  <c r="AI40" i="1"/>
  <c r="AJ40" i="1" s="1"/>
  <c r="AL40" i="1"/>
  <c r="AM11" i="1"/>
  <c r="AN11" i="1"/>
  <c r="AO11" i="1" s="1"/>
  <c r="BC32" i="1"/>
  <c r="BD32" i="1" s="1"/>
  <c r="J32" i="1"/>
  <c r="Q32" i="1" s="1"/>
  <c r="AL35" i="1"/>
  <c r="AI35" i="1"/>
  <c r="AJ35" i="1" s="1"/>
  <c r="AD52" i="1"/>
  <c r="AX52" i="1" s="1"/>
  <c r="AY52" i="1" s="1"/>
  <c r="AZ52" i="1" s="1"/>
  <c r="BA52" i="1" s="1"/>
  <c r="BB52" i="1" s="1"/>
  <c r="CC52" i="1" s="1"/>
  <c r="AB52" i="1"/>
  <c r="AI22" i="1"/>
  <c r="AJ22" i="1" s="1"/>
  <c r="AL22" i="1"/>
  <c r="BP11" i="1"/>
  <c r="BQ11" i="1" s="1"/>
  <c r="BS11" i="1"/>
  <c r="AL50" i="1"/>
  <c r="AI50" i="1"/>
  <c r="AJ50" i="1" s="1"/>
  <c r="BP48" i="1"/>
  <c r="BQ48" i="1" s="1"/>
  <c r="BS48" i="1"/>
  <c r="BL51" i="1"/>
  <c r="BM51" i="1" s="1"/>
  <c r="BI51" i="1"/>
  <c r="BT40" i="1"/>
  <c r="BU40" i="1" s="1"/>
  <c r="BV40" i="1" s="1"/>
  <c r="BT36" i="1"/>
  <c r="BU36" i="1" s="1"/>
  <c r="BV36" i="1" s="1"/>
  <c r="AE19" i="1"/>
  <c r="AF19" i="1" s="1"/>
  <c r="Z19" i="1"/>
  <c r="AL41" i="1"/>
  <c r="AI41" i="1"/>
  <c r="AJ41" i="1" s="1"/>
  <c r="CE11" i="1"/>
  <c r="AI37" i="1"/>
  <c r="AJ37" i="1" s="1"/>
  <c r="AL37" i="1"/>
  <c r="AD40" i="1"/>
  <c r="AX40" i="1" s="1"/>
  <c r="AY40" i="1" s="1"/>
  <c r="AZ40" i="1" s="1"/>
  <c r="BA40" i="1" s="1"/>
  <c r="BB40" i="1" s="1"/>
  <c r="AB40" i="1"/>
  <c r="AL23" i="1"/>
  <c r="AI23" i="1"/>
  <c r="AJ23" i="1" s="1"/>
  <c r="BK22" i="1"/>
  <c r="BX22" i="1" s="1"/>
  <c r="BY22" i="1" s="1"/>
  <c r="BZ22" i="1" s="1"/>
  <c r="CA22" i="1" s="1"/>
  <c r="CB22" i="1" s="1"/>
  <c r="CF22" i="1" s="1"/>
  <c r="CL22" i="1" s="1"/>
  <c r="BJ22" i="1"/>
  <c r="BK9" i="1"/>
  <c r="BX9" i="1" s="1"/>
  <c r="BY9" i="1" s="1"/>
  <c r="BZ9" i="1" s="1"/>
  <c r="CA9" i="1" s="1"/>
  <c r="CB9" i="1" s="1"/>
  <c r="BJ9" i="1"/>
  <c r="AD22" i="1"/>
  <c r="AX22" i="1" s="1"/>
  <c r="AY22" i="1" s="1"/>
  <c r="AZ22" i="1" s="1"/>
  <c r="BA22" i="1" s="1"/>
  <c r="BB22" i="1" s="1"/>
  <c r="AB22" i="1"/>
  <c r="AD28" i="1"/>
  <c r="AX28" i="1" s="1"/>
  <c r="AY28" i="1" s="1"/>
  <c r="AZ28" i="1" s="1"/>
  <c r="BA28" i="1" s="1"/>
  <c r="BB28" i="1" s="1"/>
  <c r="AB28" i="1"/>
  <c r="C14" i="1"/>
  <c r="F15" i="1"/>
  <c r="AD10" i="1"/>
  <c r="AX10" i="1" s="1"/>
  <c r="AY10" i="1" s="1"/>
  <c r="AZ10" i="1" s="1"/>
  <c r="BA10" i="1" s="1"/>
  <c r="BB10" i="1" s="1"/>
  <c r="CC10" i="1" s="1"/>
  <c r="AB10" i="1"/>
  <c r="AL48" i="1"/>
  <c r="AI48" i="1"/>
  <c r="AJ48" i="1" s="1"/>
  <c r="AD34" i="1"/>
  <c r="AX34" i="1" s="1"/>
  <c r="AY34" i="1" s="1"/>
  <c r="AZ34" i="1" s="1"/>
  <c r="BA34" i="1" s="1"/>
  <c r="BB34" i="1" s="1"/>
  <c r="AB34" i="1"/>
  <c r="CE24" i="1"/>
  <c r="CC24" i="1"/>
  <c r="AE46" i="1"/>
  <c r="AF46" i="1" s="1"/>
  <c r="Z46" i="1"/>
  <c r="BK26" i="1"/>
  <c r="BX26" i="1" s="1"/>
  <c r="BY26" i="1" s="1"/>
  <c r="BZ26" i="1" s="1"/>
  <c r="CA26" i="1" s="1"/>
  <c r="CB26" i="1" s="1"/>
  <c r="CF26" i="1" s="1"/>
  <c r="CL26" i="1" s="1"/>
  <c r="BJ26" i="1"/>
  <c r="BK41" i="1"/>
  <c r="BX41" i="1" s="1"/>
  <c r="BY41" i="1" s="1"/>
  <c r="BZ41" i="1" s="1"/>
  <c r="CA41" i="1" s="1"/>
  <c r="CB41" i="1" s="1"/>
  <c r="BJ41" i="1"/>
  <c r="BS29" i="1"/>
  <c r="BP29" i="1"/>
  <c r="BQ29" i="1" s="1"/>
  <c r="BS47" i="1"/>
  <c r="BP47" i="1"/>
  <c r="BQ47" i="1" s="1"/>
  <c r="I31" i="1"/>
  <c r="H31" i="1"/>
  <c r="Z33" i="1"/>
  <c r="AE33" i="1"/>
  <c r="AF33" i="1" s="1"/>
  <c r="AD23" i="1"/>
  <c r="AX23" i="1" s="1"/>
  <c r="AY23" i="1" s="1"/>
  <c r="AZ23" i="1" s="1"/>
  <c r="BA23" i="1" s="1"/>
  <c r="BB23" i="1" s="1"/>
  <c r="AB23" i="1"/>
  <c r="BS22" i="1"/>
  <c r="BP22" i="1"/>
  <c r="BQ22" i="1" s="1"/>
  <c r="BS9" i="1"/>
  <c r="BP9" i="1"/>
  <c r="BQ9" i="1" s="1"/>
  <c r="E45" i="1"/>
  <c r="AL28" i="1"/>
  <c r="AI28" i="1"/>
  <c r="AJ28" i="1" s="1"/>
  <c r="I16" i="1"/>
  <c r="H16" i="1"/>
  <c r="E16" i="1"/>
  <c r="AI10" i="1"/>
  <c r="AJ10" i="1" s="1"/>
  <c r="AL10" i="1"/>
  <c r="CL8" i="1"/>
  <c r="CF9" i="1"/>
  <c r="AD48" i="1"/>
  <c r="AX48" i="1" s="1"/>
  <c r="AY48" i="1" s="1"/>
  <c r="AZ48" i="1" s="1"/>
  <c r="BA48" i="1" s="1"/>
  <c r="BB48" i="1" s="1"/>
  <c r="CC48" i="1" s="1"/>
  <c r="AB48" i="1"/>
  <c r="AL34" i="1"/>
  <c r="AI34" i="1"/>
  <c r="AJ34" i="1" s="1"/>
  <c r="BU38" i="1"/>
  <c r="BV38" i="1" s="1"/>
  <c r="BT38" i="1"/>
  <c r="I44" i="1"/>
  <c r="E44" i="1"/>
  <c r="H44" i="1"/>
  <c r="BS28" i="1"/>
  <c r="BP28" i="1"/>
  <c r="BQ28" i="1" s="1"/>
  <c r="H45" i="1"/>
  <c r="BK27" i="1"/>
  <c r="BX27" i="1" s="1"/>
  <c r="BY27" i="1" s="1"/>
  <c r="BZ27" i="1" s="1"/>
  <c r="CA27" i="1" s="1"/>
  <c r="CB27" i="1" s="1"/>
  <c r="CF27" i="1" s="1"/>
  <c r="BJ27" i="1"/>
  <c r="AE18" i="1"/>
  <c r="AF18" i="1" s="1"/>
  <c r="Z18" i="1"/>
  <c r="AD26" i="1"/>
  <c r="AX26" i="1" s="1"/>
  <c r="AY26" i="1" s="1"/>
  <c r="AZ26" i="1" s="1"/>
  <c r="BA26" i="1" s="1"/>
  <c r="BB26" i="1" s="1"/>
  <c r="AB26" i="1"/>
  <c r="BP49" i="1"/>
  <c r="BQ49" i="1" s="1"/>
  <c r="BS49" i="1"/>
  <c r="BS26" i="1"/>
  <c r="BP26" i="1"/>
  <c r="BQ26" i="1" s="1"/>
  <c r="BS41" i="1"/>
  <c r="BP41" i="1"/>
  <c r="BQ41" i="1" s="1"/>
  <c r="BK29" i="1"/>
  <c r="BX29" i="1" s="1"/>
  <c r="BY29" i="1" s="1"/>
  <c r="BZ29" i="1" s="1"/>
  <c r="CA29" i="1" s="1"/>
  <c r="CB29" i="1" s="1"/>
  <c r="CF29" i="1" s="1"/>
  <c r="CL29" i="1" s="1"/>
  <c r="BJ29" i="1"/>
  <c r="BK47" i="1"/>
  <c r="BX47" i="1" s="1"/>
  <c r="BY47" i="1" s="1"/>
  <c r="BZ47" i="1" s="1"/>
  <c r="CA47" i="1" s="1"/>
  <c r="CB47" i="1" s="1"/>
  <c r="BJ47" i="1"/>
  <c r="BL33" i="1"/>
  <c r="BM33" i="1" s="1"/>
  <c r="BI33" i="1"/>
  <c r="BS37" i="1"/>
  <c r="BP37" i="1"/>
  <c r="BQ37" i="1" s="1"/>
  <c r="AD47" i="1"/>
  <c r="AX47" i="1" s="1"/>
  <c r="AY47" i="1" s="1"/>
  <c r="AZ47" i="1" s="1"/>
  <c r="BA47" i="1" s="1"/>
  <c r="BB47" i="1" s="1"/>
  <c r="CC47" i="1" s="1"/>
  <c r="AB47" i="1"/>
  <c r="AN24" i="1"/>
  <c r="AO24" i="1" s="1"/>
  <c r="AM24" i="1"/>
  <c r="BJ34" i="1"/>
  <c r="BK34" i="1"/>
  <c r="BX34" i="1" s="1"/>
  <c r="BY34" i="1" s="1"/>
  <c r="BZ34" i="1" s="1"/>
  <c r="CA34" i="1" s="1"/>
  <c r="CB34" i="1" s="1"/>
  <c r="BK21" i="1"/>
  <c r="BX21" i="1" s="1"/>
  <c r="BY21" i="1" s="1"/>
  <c r="BZ21" i="1" s="1"/>
  <c r="CA21" i="1" s="1"/>
  <c r="CB21" i="1" s="1"/>
  <c r="CF21" i="1" s="1"/>
  <c r="CL21" i="1" s="1"/>
  <c r="BJ21" i="1"/>
  <c r="AL29" i="1"/>
  <c r="AI29" i="1"/>
  <c r="AJ29" i="1" s="1"/>
  <c r="BK28" i="1"/>
  <c r="BX28" i="1" s="1"/>
  <c r="BY28" i="1" s="1"/>
  <c r="BZ28" i="1" s="1"/>
  <c r="CA28" i="1" s="1"/>
  <c r="CB28" i="1" s="1"/>
  <c r="CF28" i="1" s="1"/>
  <c r="BJ28" i="1"/>
  <c r="BP27" i="1"/>
  <c r="BQ27" i="1" s="1"/>
  <c r="BS27" i="1"/>
  <c r="BL18" i="1"/>
  <c r="BM18" i="1" s="1"/>
  <c r="BI18" i="1"/>
  <c r="AI26" i="1"/>
  <c r="AJ26" i="1" s="1"/>
  <c r="AL26" i="1"/>
  <c r="BJ49" i="1"/>
  <c r="BK49" i="1" s="1"/>
  <c r="BX49" i="1" s="1"/>
  <c r="BY49" i="1" s="1"/>
  <c r="BZ49" i="1" s="1"/>
  <c r="CA49" i="1" s="1"/>
  <c r="CB49" i="1" s="1"/>
  <c r="CC49" i="1" l="1"/>
  <c r="BT37" i="1"/>
  <c r="BU37" i="1" s="1"/>
  <c r="BV37" i="1" s="1"/>
  <c r="AM23" i="1"/>
  <c r="AN23" i="1"/>
  <c r="AO23" i="1" s="1"/>
  <c r="BS18" i="1"/>
  <c r="BP18" i="1"/>
  <c r="BQ18" i="1" s="1"/>
  <c r="AN29" i="1"/>
  <c r="AO29" i="1" s="1"/>
  <c r="AM29" i="1"/>
  <c r="J16" i="1"/>
  <c r="Q16" i="1" s="1"/>
  <c r="BC16" i="1"/>
  <c r="BD16" i="1" s="1"/>
  <c r="BT29" i="1"/>
  <c r="BU29" i="1" s="1"/>
  <c r="BV29" i="1" s="1"/>
  <c r="E15" i="1"/>
  <c r="H15" i="1"/>
  <c r="I15" i="1"/>
  <c r="CC11" i="1"/>
  <c r="AE32" i="1"/>
  <c r="AF32" i="1" s="1"/>
  <c r="Z32" i="1"/>
  <c r="BT52" i="1"/>
  <c r="BU52" i="1"/>
  <c r="BV52" i="1" s="1"/>
  <c r="BT23" i="1"/>
  <c r="BU23" i="1" s="1"/>
  <c r="BV23" i="1" s="1"/>
  <c r="AM47" i="1"/>
  <c r="AN47" i="1" s="1"/>
  <c r="AO47" i="1" s="1"/>
  <c r="BK46" i="1"/>
  <c r="BX46" i="1" s="1"/>
  <c r="BY46" i="1" s="1"/>
  <c r="BZ46" i="1" s="1"/>
  <c r="CA46" i="1" s="1"/>
  <c r="CB46" i="1" s="1"/>
  <c r="BJ46" i="1"/>
  <c r="CE26" i="1"/>
  <c r="CC26" i="1"/>
  <c r="AM28" i="1"/>
  <c r="AN28" i="1"/>
  <c r="AO28" i="1" s="1"/>
  <c r="BT41" i="1"/>
  <c r="BU41" i="1" s="1"/>
  <c r="BV41" i="1" s="1"/>
  <c r="AI33" i="1"/>
  <c r="AJ33" i="1" s="1"/>
  <c r="AL33" i="1"/>
  <c r="BK51" i="1"/>
  <c r="BX51" i="1" s="1"/>
  <c r="BY51" i="1" s="1"/>
  <c r="BZ51" i="1" s="1"/>
  <c r="CA51" i="1" s="1"/>
  <c r="CB51" i="1" s="1"/>
  <c r="CF51" i="1" s="1"/>
  <c r="BJ51" i="1"/>
  <c r="AB51" i="1"/>
  <c r="AD51" i="1"/>
  <c r="AX51" i="1" s="1"/>
  <c r="AY51" i="1" s="1"/>
  <c r="AZ51" i="1" s="1"/>
  <c r="BA51" i="1" s="1"/>
  <c r="BB51" i="1" s="1"/>
  <c r="AI18" i="1"/>
  <c r="AJ18" i="1" s="1"/>
  <c r="AL18" i="1"/>
  <c r="BC44" i="1"/>
  <c r="BD44" i="1" s="1"/>
  <c r="J44" i="1"/>
  <c r="Q44" i="1" s="1"/>
  <c r="AD33" i="1"/>
  <c r="AX33" i="1" s="1"/>
  <c r="AY33" i="1" s="1"/>
  <c r="AZ33" i="1" s="1"/>
  <c r="BA33" i="1" s="1"/>
  <c r="BB33" i="1" s="1"/>
  <c r="AB33" i="1"/>
  <c r="CC34" i="1"/>
  <c r="CE28" i="1"/>
  <c r="CC28" i="1"/>
  <c r="BS51" i="1"/>
  <c r="BP51" i="1"/>
  <c r="BQ51" i="1" s="1"/>
  <c r="AM22" i="1"/>
  <c r="AN22" i="1" s="1"/>
  <c r="AO22" i="1" s="1"/>
  <c r="CC41" i="1"/>
  <c r="AI51" i="1"/>
  <c r="AJ51" i="1" s="1"/>
  <c r="AL51" i="1"/>
  <c r="BT24" i="1"/>
  <c r="BU24" i="1" s="1"/>
  <c r="BV24" i="1" s="1"/>
  <c r="AN21" i="1"/>
  <c r="AO21" i="1" s="1"/>
  <c r="AM21" i="1"/>
  <c r="CE29" i="1"/>
  <c r="CC29" i="1"/>
  <c r="BT27" i="1"/>
  <c r="BU27" i="1" s="1"/>
  <c r="BV27" i="1" s="1"/>
  <c r="CL9" i="1"/>
  <c r="CF10" i="1"/>
  <c r="CL10" i="1" s="1"/>
  <c r="AN38" i="1"/>
  <c r="AO38" i="1" s="1"/>
  <c r="AM38" i="1"/>
  <c r="CF47" i="1"/>
  <c r="CL47" i="1" s="1"/>
  <c r="CL28" i="1"/>
  <c r="BJ33" i="1"/>
  <c r="BK33" i="1"/>
  <c r="BX33" i="1" s="1"/>
  <c r="BY33" i="1" s="1"/>
  <c r="BZ33" i="1" s="1"/>
  <c r="CA33" i="1" s="1"/>
  <c r="CB33" i="1" s="1"/>
  <c r="CF33" i="1" s="1"/>
  <c r="BT26" i="1"/>
  <c r="BU26" i="1" s="1"/>
  <c r="BV26" i="1" s="1"/>
  <c r="BT9" i="1"/>
  <c r="BU9" i="1" s="1"/>
  <c r="BV9" i="1" s="1"/>
  <c r="AN48" i="1"/>
  <c r="AO48" i="1" s="1"/>
  <c r="AM48" i="1"/>
  <c r="AD19" i="1"/>
  <c r="AX19" i="1" s="1"/>
  <c r="AY19" i="1" s="1"/>
  <c r="AZ19" i="1" s="1"/>
  <c r="BA19" i="1" s="1"/>
  <c r="BB19" i="1" s="1"/>
  <c r="AB19" i="1"/>
  <c r="BU34" i="1"/>
  <c r="BV34" i="1" s="1"/>
  <c r="BT34" i="1"/>
  <c r="AN49" i="1"/>
  <c r="AO49" i="1" s="1"/>
  <c r="AM49" i="1"/>
  <c r="BU21" i="1"/>
  <c r="BV21" i="1" s="1"/>
  <c r="BT21" i="1"/>
  <c r="CE23" i="1"/>
  <c r="CC23" i="1"/>
  <c r="CG24" i="1"/>
  <c r="CZ24" i="1" s="1"/>
  <c r="CI24" i="1"/>
  <c r="C13" i="1"/>
  <c r="C7" i="1" s="1"/>
  <c r="F14" i="1"/>
  <c r="CI11" i="1"/>
  <c r="CG11" i="1"/>
  <c r="CZ11" i="1" s="1"/>
  <c r="BT11" i="1"/>
  <c r="BU11" i="1"/>
  <c r="BV11" i="1" s="1"/>
  <c r="G43" i="1"/>
  <c r="D14" i="1"/>
  <c r="CC21" i="1"/>
  <c r="CE21" i="1"/>
  <c r="BS33" i="1"/>
  <c r="BP33" i="1"/>
  <c r="BQ33" i="1" s="1"/>
  <c r="CF48" i="1"/>
  <c r="CL27" i="1"/>
  <c r="AN10" i="1"/>
  <c r="AO10" i="1" s="1"/>
  <c r="AM10" i="1"/>
  <c r="BC31" i="1"/>
  <c r="BD31" i="1" s="1"/>
  <c r="J31" i="1"/>
  <c r="Q31" i="1" s="1"/>
  <c r="CE22" i="1"/>
  <c r="CC22" i="1"/>
  <c r="CC40" i="1"/>
  <c r="CE40" i="1"/>
  <c r="AL19" i="1"/>
  <c r="AI19" i="1"/>
  <c r="AJ19" i="1" s="1"/>
  <c r="BT48" i="1"/>
  <c r="BU48" i="1" s="1"/>
  <c r="BV48" i="1" s="1"/>
  <c r="AN40" i="1"/>
  <c r="AO40" i="1" s="1"/>
  <c r="AM40" i="1"/>
  <c r="AM52" i="1"/>
  <c r="AN52" i="1" s="1"/>
  <c r="AO52" i="1" s="1"/>
  <c r="CE27" i="1"/>
  <c r="CC27" i="1"/>
  <c r="CE9" i="1"/>
  <c r="BK19" i="1"/>
  <c r="BX19" i="1" s="1"/>
  <c r="BY19" i="1" s="1"/>
  <c r="BZ19" i="1" s="1"/>
  <c r="CA19" i="1" s="1"/>
  <c r="CB19" i="1" s="1"/>
  <c r="CF19" i="1" s="1"/>
  <c r="CL19" i="1" s="1"/>
  <c r="BJ19" i="1"/>
  <c r="BT35" i="1"/>
  <c r="BU35" i="1"/>
  <c r="BV35" i="1" s="1"/>
  <c r="BT50" i="1"/>
  <c r="BU50" i="1" s="1"/>
  <c r="BV50" i="1" s="1"/>
  <c r="AM26" i="1"/>
  <c r="AN26" i="1" s="1"/>
  <c r="AO26" i="1" s="1"/>
  <c r="AM34" i="1"/>
  <c r="AN34" i="1"/>
  <c r="AO34" i="1" s="1"/>
  <c r="BT22" i="1"/>
  <c r="BU22" i="1" s="1"/>
  <c r="BV22" i="1" s="1"/>
  <c r="BT47" i="1"/>
  <c r="BU47" i="1" s="1"/>
  <c r="BV47" i="1" s="1"/>
  <c r="AD46" i="1"/>
  <c r="AX46" i="1" s="1"/>
  <c r="AY46" i="1" s="1"/>
  <c r="AZ46" i="1" s="1"/>
  <c r="BA46" i="1" s="1"/>
  <c r="BB46" i="1" s="1"/>
  <c r="CC46" i="1" s="1"/>
  <c r="AB46" i="1"/>
  <c r="AM50" i="1"/>
  <c r="AN50" i="1"/>
  <c r="AO50" i="1" s="1"/>
  <c r="AM35" i="1"/>
  <c r="AN35" i="1"/>
  <c r="AO35" i="1" s="1"/>
  <c r="BS19" i="1"/>
  <c r="BP19" i="1"/>
  <c r="BQ19" i="1" s="1"/>
  <c r="AE17" i="1"/>
  <c r="AF17" i="1" s="1"/>
  <c r="Z17" i="1"/>
  <c r="BI45" i="1"/>
  <c r="BL45" i="1"/>
  <c r="BM45" i="1" s="1"/>
  <c r="BL32" i="1"/>
  <c r="BM32" i="1" s="1"/>
  <c r="BI32" i="1"/>
  <c r="BU10" i="1"/>
  <c r="BV10" i="1" s="1"/>
  <c r="BT10" i="1"/>
  <c r="AD18" i="1"/>
  <c r="AX18" i="1" s="1"/>
  <c r="AY18" i="1" s="1"/>
  <c r="AZ18" i="1" s="1"/>
  <c r="BA18" i="1" s="1"/>
  <c r="BB18" i="1" s="1"/>
  <c r="AB18" i="1"/>
  <c r="AM41" i="1"/>
  <c r="AN41" i="1"/>
  <c r="AO41" i="1" s="1"/>
  <c r="BK18" i="1"/>
  <c r="BX18" i="1" s="1"/>
  <c r="BY18" i="1" s="1"/>
  <c r="BZ18" i="1" s="1"/>
  <c r="CA18" i="1" s="1"/>
  <c r="CB18" i="1" s="1"/>
  <c r="CF18" i="1" s="1"/>
  <c r="CL18" i="1" s="1"/>
  <c r="BJ18" i="1"/>
  <c r="BU49" i="1"/>
  <c r="BV49" i="1" s="1"/>
  <c r="BT49" i="1"/>
  <c r="BT28" i="1"/>
  <c r="BU28" i="1" s="1"/>
  <c r="BV28" i="1" s="1"/>
  <c r="AI46" i="1"/>
  <c r="AJ46" i="1" s="1"/>
  <c r="AL46" i="1"/>
  <c r="AM37" i="1"/>
  <c r="AN37" i="1"/>
  <c r="AO37" i="1" s="1"/>
  <c r="CC35" i="1"/>
  <c r="BS46" i="1"/>
  <c r="BP46" i="1"/>
  <c r="BQ46" i="1" s="1"/>
  <c r="AN9" i="1"/>
  <c r="AO9" i="1" s="1"/>
  <c r="AM9" i="1"/>
  <c r="AM27" i="1"/>
  <c r="AN27" i="1"/>
  <c r="AO27" i="1" s="1"/>
  <c r="BI17" i="1"/>
  <c r="BL17" i="1"/>
  <c r="BM17" i="1" s="1"/>
  <c r="Z45" i="1"/>
  <c r="AE45" i="1"/>
  <c r="AF45" i="1" s="1"/>
  <c r="CG40" i="1" l="1"/>
  <c r="CZ40" i="1" s="1"/>
  <c r="CI40" i="1"/>
  <c r="AD45" i="1"/>
  <c r="AX45" i="1" s="1"/>
  <c r="AY45" i="1" s="1"/>
  <c r="AZ45" i="1" s="1"/>
  <c r="BA45" i="1" s="1"/>
  <c r="BB45" i="1" s="1"/>
  <c r="AB45" i="1"/>
  <c r="BT19" i="1"/>
  <c r="BU19" i="1" s="1"/>
  <c r="BV19" i="1" s="1"/>
  <c r="CE48" i="1"/>
  <c r="CI27" i="1"/>
  <c r="CG27" i="1"/>
  <c r="CZ27" i="1" s="1"/>
  <c r="H43" i="1"/>
  <c r="I43" i="1"/>
  <c r="E43" i="1"/>
  <c r="AM18" i="1"/>
  <c r="AN18" i="1"/>
  <c r="AO18" i="1" s="1"/>
  <c r="BC15" i="1"/>
  <c r="BD15" i="1" s="1"/>
  <c r="J15" i="1"/>
  <c r="Q15" i="1" s="1"/>
  <c r="BU18" i="1"/>
  <c r="BV18" i="1" s="1"/>
  <c r="BT18" i="1"/>
  <c r="BS32" i="1"/>
  <c r="BP32" i="1"/>
  <c r="BQ32" i="1" s="1"/>
  <c r="BT33" i="1"/>
  <c r="BU33" i="1" s="1"/>
  <c r="BV33" i="1" s="1"/>
  <c r="CF34" i="1"/>
  <c r="CF37" i="1"/>
  <c r="CL37" i="1" s="1"/>
  <c r="CL33" i="1"/>
  <c r="BP45" i="1"/>
  <c r="BQ45" i="1" s="1"/>
  <c r="BS45" i="1"/>
  <c r="CI22" i="1"/>
  <c r="CG22" i="1"/>
  <c r="CZ22" i="1" s="1"/>
  <c r="CI29" i="1"/>
  <c r="CG29" i="1"/>
  <c r="CZ29" i="1" s="1"/>
  <c r="CC33" i="1"/>
  <c r="CE33" i="1"/>
  <c r="CL51" i="1"/>
  <c r="CI26" i="1"/>
  <c r="CG26" i="1"/>
  <c r="CZ26" i="1" s="1"/>
  <c r="CE51" i="1"/>
  <c r="CC51" i="1"/>
  <c r="AM46" i="1"/>
  <c r="AN46" i="1"/>
  <c r="AO46" i="1" s="1"/>
  <c r="BJ45" i="1"/>
  <c r="BK45" i="1"/>
  <c r="BX45" i="1" s="1"/>
  <c r="BY45" i="1" s="1"/>
  <c r="BZ45" i="1" s="1"/>
  <c r="CA45" i="1" s="1"/>
  <c r="CB45" i="1" s="1"/>
  <c r="CF45" i="1" s="1"/>
  <c r="CL45" i="1" s="1"/>
  <c r="Z31" i="1"/>
  <c r="AE31" i="1"/>
  <c r="AF31" i="1" s="1"/>
  <c r="CI21" i="1"/>
  <c r="CG21" i="1"/>
  <c r="F13" i="1"/>
  <c r="I14" i="1"/>
  <c r="AE44" i="1"/>
  <c r="AF44" i="1" s="1"/>
  <c r="Z44" i="1"/>
  <c r="AD32" i="1"/>
  <c r="AX32" i="1" s="1"/>
  <c r="AY32" i="1" s="1"/>
  <c r="AZ32" i="1" s="1"/>
  <c r="BA32" i="1" s="1"/>
  <c r="BB32" i="1" s="1"/>
  <c r="AB32" i="1"/>
  <c r="BL16" i="1"/>
  <c r="BM16" i="1" s="1"/>
  <c r="BI16" i="1"/>
  <c r="CE47" i="1"/>
  <c r="CI28" i="1"/>
  <c r="CG28" i="1"/>
  <c r="CE19" i="1"/>
  <c r="CC19" i="1"/>
  <c r="AD17" i="1"/>
  <c r="AX17" i="1" s="1"/>
  <c r="AY17" i="1" s="1"/>
  <c r="AZ17" i="1" s="1"/>
  <c r="BA17" i="1" s="1"/>
  <c r="BB17" i="1" s="1"/>
  <c r="AB17" i="1"/>
  <c r="CG9" i="1"/>
  <c r="CZ9" i="1" s="1"/>
  <c r="CE10" i="1"/>
  <c r="CI9" i="1"/>
  <c r="BL31" i="1"/>
  <c r="BM31" i="1" s="1"/>
  <c r="BI31" i="1"/>
  <c r="C6" i="1"/>
  <c r="C5" i="1" s="1"/>
  <c r="F7" i="1"/>
  <c r="BT51" i="1"/>
  <c r="BU51" i="1"/>
  <c r="BV51" i="1" s="1"/>
  <c r="BI44" i="1"/>
  <c r="BL44" i="1"/>
  <c r="BM44" i="1" s="1"/>
  <c r="AM33" i="1"/>
  <c r="AN33" i="1"/>
  <c r="AO33" i="1" s="1"/>
  <c r="AI32" i="1"/>
  <c r="AJ32" i="1" s="1"/>
  <c r="AL32" i="1"/>
  <c r="AE16" i="1"/>
  <c r="AF16" i="1" s="1"/>
  <c r="Z16" i="1"/>
  <c r="BP17" i="1"/>
  <c r="BQ17" i="1" s="1"/>
  <c r="BS17" i="1"/>
  <c r="BK17" i="1"/>
  <c r="BX17" i="1" s="1"/>
  <c r="BY17" i="1" s="1"/>
  <c r="BZ17" i="1" s="1"/>
  <c r="CA17" i="1" s="1"/>
  <c r="CB17" i="1" s="1"/>
  <c r="CF17" i="1" s="1"/>
  <c r="CL17" i="1" s="1"/>
  <c r="BJ17" i="1"/>
  <c r="BK32" i="1"/>
  <c r="BX32" i="1" s="1"/>
  <c r="BY32" i="1" s="1"/>
  <c r="BZ32" i="1" s="1"/>
  <c r="CA32" i="1" s="1"/>
  <c r="CB32" i="1" s="1"/>
  <c r="CF32" i="1" s="1"/>
  <c r="BJ32" i="1"/>
  <c r="CL48" i="1"/>
  <c r="CI23" i="1"/>
  <c r="CG23" i="1"/>
  <c r="CZ23" i="1" s="1"/>
  <c r="AM51" i="1"/>
  <c r="AN51" i="1" s="1"/>
  <c r="AO51" i="1" s="1"/>
  <c r="AL45" i="1"/>
  <c r="AI45" i="1"/>
  <c r="AJ45" i="1" s="1"/>
  <c r="BT46" i="1"/>
  <c r="BU46" i="1"/>
  <c r="BV46" i="1" s="1"/>
  <c r="CC18" i="1"/>
  <c r="CE18" i="1"/>
  <c r="AL17" i="1"/>
  <c r="AI17" i="1"/>
  <c r="AJ17" i="1" s="1"/>
  <c r="AM19" i="1"/>
  <c r="AN19" i="1"/>
  <c r="AO19" i="1" s="1"/>
  <c r="G14" i="1"/>
  <c r="G13" i="1" s="1"/>
  <c r="D13" i="1"/>
  <c r="D7" i="1" s="1"/>
  <c r="BI15" i="1" l="1"/>
  <c r="BL15" i="1"/>
  <c r="BM15" i="1" s="1"/>
  <c r="AM32" i="1"/>
  <c r="AN32" i="1" s="1"/>
  <c r="AO32" i="1" s="1"/>
  <c r="AL16" i="1"/>
  <c r="AI16" i="1"/>
  <c r="AJ16" i="1" s="1"/>
  <c r="BS16" i="1"/>
  <c r="BP16" i="1"/>
  <c r="BQ16" i="1" s="1"/>
  <c r="E14" i="1"/>
  <c r="E13" i="1" s="1"/>
  <c r="AE15" i="1"/>
  <c r="AF15" i="1" s="1"/>
  <c r="Z15" i="1"/>
  <c r="CC17" i="1"/>
  <c r="CE17" i="1"/>
  <c r="CF52" i="1"/>
  <c r="CF41" i="1"/>
  <c r="CL41" i="1" s="1"/>
  <c r="CF35" i="1"/>
  <c r="CF38" i="1"/>
  <c r="CL38" i="1" s="1"/>
  <c r="CL34" i="1"/>
  <c r="F5" i="1"/>
  <c r="C3" i="1"/>
  <c r="F3" i="1" s="1"/>
  <c r="AM17" i="1"/>
  <c r="AN17" i="1"/>
  <c r="AO17" i="1" s="1"/>
  <c r="BK31" i="1"/>
  <c r="BX31" i="1" s="1"/>
  <c r="BY31" i="1" s="1"/>
  <c r="BZ31" i="1" s="1"/>
  <c r="CA31" i="1" s="1"/>
  <c r="CB31" i="1" s="1"/>
  <c r="CF31" i="1" s="1"/>
  <c r="CL31" i="1" s="1"/>
  <c r="BJ31" i="1"/>
  <c r="CG19" i="1"/>
  <c r="CI19" i="1"/>
  <c r="AD44" i="1"/>
  <c r="AX44" i="1" s="1"/>
  <c r="AY44" i="1" s="1"/>
  <c r="AZ44" i="1" s="1"/>
  <c r="BA44" i="1" s="1"/>
  <c r="BB44" i="1" s="1"/>
  <c r="AB44" i="1"/>
  <c r="AI31" i="1"/>
  <c r="AJ31" i="1" s="1"/>
  <c r="AL31" i="1"/>
  <c r="AM45" i="1"/>
  <c r="AN45" i="1" s="1"/>
  <c r="AO45" i="1" s="1"/>
  <c r="CE32" i="1"/>
  <c r="CC32" i="1"/>
  <c r="CD38" i="1" s="1"/>
  <c r="BS31" i="1"/>
  <c r="BP31" i="1"/>
  <c r="BQ31" i="1" s="1"/>
  <c r="AI44" i="1"/>
  <c r="AJ44" i="1" s="1"/>
  <c r="AL44" i="1"/>
  <c r="AD31" i="1"/>
  <c r="AX31" i="1" s="1"/>
  <c r="AY31" i="1" s="1"/>
  <c r="AZ31" i="1" s="1"/>
  <c r="BA31" i="1" s="1"/>
  <c r="BB31" i="1" s="1"/>
  <c r="AB31" i="1"/>
  <c r="BT32" i="1"/>
  <c r="BU32" i="1" s="1"/>
  <c r="BV32" i="1" s="1"/>
  <c r="CI18" i="1"/>
  <c r="CG18" i="1"/>
  <c r="BS44" i="1"/>
  <c r="BP44" i="1"/>
  <c r="BQ44" i="1" s="1"/>
  <c r="BC14" i="1"/>
  <c r="BD14" i="1" s="1"/>
  <c r="J14" i="1"/>
  <c r="Q14" i="1" s="1"/>
  <c r="BC43" i="1"/>
  <c r="BD43" i="1" s="1"/>
  <c r="J43" i="1"/>
  <c r="Q43" i="1" s="1"/>
  <c r="CC45" i="1"/>
  <c r="H7" i="1"/>
  <c r="F6" i="1"/>
  <c r="I7" i="1"/>
  <c r="CI48" i="1"/>
  <c r="CG48" i="1"/>
  <c r="CZ48" i="1" s="1"/>
  <c r="BT17" i="1"/>
  <c r="BU17" i="1" s="1"/>
  <c r="BV17" i="1" s="1"/>
  <c r="BK44" i="1"/>
  <c r="BX44" i="1" s="1"/>
  <c r="BY44" i="1" s="1"/>
  <c r="BZ44" i="1" s="1"/>
  <c r="CA44" i="1" s="1"/>
  <c r="CB44" i="1" s="1"/>
  <c r="BJ44" i="1"/>
  <c r="CG10" i="1"/>
  <c r="CZ10" i="1" s="1"/>
  <c r="CI10" i="1"/>
  <c r="CI47" i="1"/>
  <c r="CG47" i="1"/>
  <c r="CZ47" i="1" s="1"/>
  <c r="I13" i="1"/>
  <c r="H13" i="1"/>
  <c r="BT45" i="1"/>
  <c r="BU45" i="1" s="1"/>
  <c r="BV45" i="1" s="1"/>
  <c r="CF36" i="1"/>
  <c r="CL36" i="1" s="1"/>
  <c r="CL32" i="1"/>
  <c r="CG51" i="1"/>
  <c r="CZ51" i="1" s="1"/>
  <c r="CI51" i="1"/>
  <c r="CE45" i="1"/>
  <c r="G7" i="1"/>
  <c r="G6" i="1" s="1"/>
  <c r="D6" i="1"/>
  <c r="D5" i="1" s="1"/>
  <c r="AD16" i="1"/>
  <c r="AX16" i="1" s="1"/>
  <c r="AY16" i="1" s="1"/>
  <c r="AZ16" i="1" s="1"/>
  <c r="BA16" i="1" s="1"/>
  <c r="BB16" i="1" s="1"/>
  <c r="AB16" i="1"/>
  <c r="BK16" i="1"/>
  <c r="BX16" i="1" s="1"/>
  <c r="BY16" i="1" s="1"/>
  <c r="BZ16" i="1" s="1"/>
  <c r="CA16" i="1" s="1"/>
  <c r="CB16" i="1" s="1"/>
  <c r="CF16" i="1" s="1"/>
  <c r="CL16" i="1" s="1"/>
  <c r="BJ16" i="1"/>
  <c r="H14" i="1"/>
  <c r="CE37" i="1"/>
  <c r="CE34" i="1"/>
  <c r="CG33" i="1"/>
  <c r="CI33" i="1"/>
  <c r="BC7" i="1" l="1"/>
  <c r="BD7" i="1" s="1"/>
  <c r="J7" i="1"/>
  <c r="Q7" i="1" s="1"/>
  <c r="BT44" i="1"/>
  <c r="BU44" i="1" s="1"/>
  <c r="BV44" i="1" s="1"/>
  <c r="AE14" i="1"/>
  <c r="AF14" i="1" s="1"/>
  <c r="Z14" i="1"/>
  <c r="CF49" i="1"/>
  <c r="CL49" i="1" s="1"/>
  <c r="CF50" i="1"/>
  <c r="CL50" i="1" s="1"/>
  <c r="CL35" i="1"/>
  <c r="CF39" i="1"/>
  <c r="CL39" i="1" s="1"/>
  <c r="BT16" i="1"/>
  <c r="BU16" i="1" s="1"/>
  <c r="BV16" i="1" s="1"/>
  <c r="CC16" i="1"/>
  <c r="CE16" i="1"/>
  <c r="CF44" i="1"/>
  <c r="CL44" i="1" s="1"/>
  <c r="CL52" i="1"/>
  <c r="CF46" i="1"/>
  <c r="CL46" i="1" s="1"/>
  <c r="G5" i="1"/>
  <c r="D3" i="1"/>
  <c r="G3" i="1" s="1"/>
  <c r="AM44" i="1"/>
  <c r="AN44" i="1"/>
  <c r="AO44" i="1" s="1"/>
  <c r="AM31" i="1"/>
  <c r="AN31" i="1"/>
  <c r="AO31" i="1" s="1"/>
  <c r="CI17" i="1"/>
  <c r="CG17" i="1"/>
  <c r="BI14" i="1"/>
  <c r="BL14" i="1"/>
  <c r="BM14" i="1" s="1"/>
  <c r="CE52" i="1"/>
  <c r="CE38" i="1"/>
  <c r="CE41" i="1"/>
  <c r="CE35" i="1"/>
  <c r="CI34" i="1"/>
  <c r="CG34" i="1"/>
  <c r="E7" i="1"/>
  <c r="E6" i="1" s="1"/>
  <c r="BT31" i="1"/>
  <c r="BU31" i="1" s="1"/>
  <c r="BV31" i="1" s="1"/>
  <c r="E3" i="1"/>
  <c r="I3" i="1"/>
  <c r="H3" i="1"/>
  <c r="CE31" i="1"/>
  <c r="CC31" i="1"/>
  <c r="CD37" i="1" s="1"/>
  <c r="AM16" i="1"/>
  <c r="AN16" i="1" s="1"/>
  <c r="AO16" i="1" s="1"/>
  <c r="CI37" i="1"/>
  <c r="CG37" i="1"/>
  <c r="CI45" i="1"/>
  <c r="CG45" i="1"/>
  <c r="BC13" i="1"/>
  <c r="BD13" i="1" s="1"/>
  <c r="J13" i="1"/>
  <c r="Q13" i="1" s="1"/>
  <c r="CC44" i="1"/>
  <c r="I5" i="1"/>
  <c r="H5" i="1"/>
  <c r="E5" i="1"/>
  <c r="AD15" i="1"/>
  <c r="AX15" i="1" s="1"/>
  <c r="AY15" i="1" s="1"/>
  <c r="AZ15" i="1" s="1"/>
  <c r="BA15" i="1" s="1"/>
  <c r="BB15" i="1" s="1"/>
  <c r="AB15" i="1"/>
  <c r="AE43" i="1"/>
  <c r="AF43" i="1" s="1"/>
  <c r="Z43" i="1"/>
  <c r="AI15" i="1"/>
  <c r="AJ15" i="1" s="1"/>
  <c r="AL15" i="1"/>
  <c r="BS15" i="1"/>
  <c r="BP15" i="1"/>
  <c r="BQ15" i="1" s="1"/>
  <c r="I6" i="1"/>
  <c r="H6" i="1"/>
  <c r="BI43" i="1"/>
  <c r="BL43" i="1"/>
  <c r="BM43" i="1" s="1"/>
  <c r="CE36" i="1"/>
  <c r="CI32" i="1"/>
  <c r="CG32" i="1"/>
  <c r="BK15" i="1"/>
  <c r="BX15" i="1" s="1"/>
  <c r="BY15" i="1" s="1"/>
  <c r="BZ15" i="1" s="1"/>
  <c r="CA15" i="1" s="1"/>
  <c r="CB15" i="1" s="1"/>
  <c r="CF15" i="1" s="1"/>
  <c r="CL15" i="1" s="1"/>
  <c r="BJ15" i="1"/>
  <c r="BT15" i="1" l="1"/>
  <c r="BU15" i="1" s="1"/>
  <c r="BV15" i="1" s="1"/>
  <c r="BC3" i="1"/>
  <c r="BD3" i="1" s="1"/>
  <c r="J3" i="1"/>
  <c r="Q3" i="1" s="1"/>
  <c r="AL43" i="1"/>
  <c r="AI43" i="1"/>
  <c r="AJ43" i="1" s="1"/>
  <c r="BI13" i="1"/>
  <c r="BL13" i="1"/>
  <c r="BM13" i="1" s="1"/>
  <c r="CI31" i="1"/>
  <c r="CG31" i="1"/>
  <c r="CC15" i="1"/>
  <c r="CE15" i="1"/>
  <c r="AD14" i="1"/>
  <c r="AX14" i="1" s="1"/>
  <c r="AY14" i="1" s="1"/>
  <c r="AZ14" i="1" s="1"/>
  <c r="BA14" i="1" s="1"/>
  <c r="BB14" i="1" s="1"/>
  <c r="AB14" i="1"/>
  <c r="CI38" i="1"/>
  <c r="CG38" i="1"/>
  <c r="CZ38" i="1" s="1"/>
  <c r="AI14" i="1"/>
  <c r="AJ14" i="1" s="1"/>
  <c r="AL14" i="1"/>
  <c r="CI16" i="1"/>
  <c r="CG16" i="1"/>
  <c r="CI52" i="1"/>
  <c r="CE44" i="1"/>
  <c r="CE46" i="1"/>
  <c r="CG52" i="1"/>
  <c r="CZ52" i="1" s="1"/>
  <c r="CE50" i="1"/>
  <c r="CE49" i="1"/>
  <c r="CI35" i="1"/>
  <c r="CG35" i="1"/>
  <c r="CE39" i="1"/>
  <c r="CI41" i="1"/>
  <c r="CG41" i="1"/>
  <c r="CZ41" i="1" s="1"/>
  <c r="CI36" i="1"/>
  <c r="CG36" i="1"/>
  <c r="CZ36" i="1" s="1"/>
  <c r="AM15" i="1"/>
  <c r="AN15" i="1" s="1"/>
  <c r="AO15" i="1" s="1"/>
  <c r="BC5" i="1"/>
  <c r="BD5" i="1" s="1"/>
  <c r="J5" i="1"/>
  <c r="Q5" i="1" s="1"/>
  <c r="BS14" i="1"/>
  <c r="BP14" i="1"/>
  <c r="BQ14" i="1" s="1"/>
  <c r="BS43" i="1"/>
  <c r="BP43" i="1"/>
  <c r="BQ43" i="1" s="1"/>
  <c r="BK14" i="1"/>
  <c r="BX14" i="1" s="1"/>
  <c r="BY14" i="1" s="1"/>
  <c r="BZ14" i="1" s="1"/>
  <c r="CA14" i="1" s="1"/>
  <c r="CB14" i="1" s="1"/>
  <c r="CF14" i="1" s="1"/>
  <c r="CL14" i="1" s="1"/>
  <c r="BJ14" i="1"/>
  <c r="AE7" i="1"/>
  <c r="AF7" i="1" s="1"/>
  <c r="Z7" i="1"/>
  <c r="BC6" i="1"/>
  <c r="BD6" i="1" s="1"/>
  <c r="J6" i="1"/>
  <c r="Q6" i="1" s="1"/>
  <c r="BK43" i="1"/>
  <c r="BX43" i="1" s="1"/>
  <c r="BY43" i="1" s="1"/>
  <c r="BZ43" i="1" s="1"/>
  <c r="CA43" i="1" s="1"/>
  <c r="CB43" i="1" s="1"/>
  <c r="CF43" i="1" s="1"/>
  <c r="CL43" i="1" s="1"/>
  <c r="BJ43" i="1"/>
  <c r="AB43" i="1"/>
  <c r="AD43" i="1"/>
  <c r="AX43" i="1" s="1"/>
  <c r="AY43" i="1" s="1"/>
  <c r="AZ43" i="1" s="1"/>
  <c r="BA43" i="1" s="1"/>
  <c r="BB43" i="1" s="1"/>
  <c r="AE13" i="1"/>
  <c r="AF13" i="1" s="1"/>
  <c r="Z13" i="1"/>
  <c r="CZ37" i="1"/>
  <c r="BI7" i="1"/>
  <c r="BL7" i="1"/>
  <c r="BM7" i="1" s="1"/>
  <c r="BK13" i="1" l="1"/>
  <c r="BX13" i="1" s="1"/>
  <c r="BY13" i="1" s="1"/>
  <c r="BZ13" i="1" s="1"/>
  <c r="CA13" i="1" s="1"/>
  <c r="CB13" i="1" s="1"/>
  <c r="CF13" i="1" s="1"/>
  <c r="CL13" i="1" s="1"/>
  <c r="BJ13" i="1"/>
  <c r="BS7" i="1"/>
  <c r="BP7" i="1"/>
  <c r="BQ7" i="1" s="1"/>
  <c r="BP13" i="1"/>
  <c r="BQ13" i="1" s="1"/>
  <c r="BS13" i="1"/>
  <c r="BK7" i="1"/>
  <c r="BX7" i="1" s="1"/>
  <c r="BY7" i="1" s="1"/>
  <c r="BZ7" i="1" s="1"/>
  <c r="CA7" i="1" s="1"/>
  <c r="CB7" i="1" s="1"/>
  <c r="CF7" i="1" s="1"/>
  <c r="CL7" i="1" s="1"/>
  <c r="BJ7" i="1"/>
  <c r="CI46" i="1"/>
  <c r="CG46" i="1"/>
  <c r="CI44" i="1"/>
  <c r="CG44" i="1"/>
  <c r="AM43" i="1"/>
  <c r="AN43" i="1"/>
  <c r="AO43" i="1" s="1"/>
  <c r="AD13" i="1"/>
  <c r="AX13" i="1" s="1"/>
  <c r="AY13" i="1" s="1"/>
  <c r="AZ13" i="1" s="1"/>
  <c r="BA13" i="1" s="1"/>
  <c r="BB13" i="1" s="1"/>
  <c r="AB13" i="1"/>
  <c r="AD7" i="1"/>
  <c r="AX7" i="1" s="1"/>
  <c r="AY7" i="1" s="1"/>
  <c r="AZ7" i="1" s="1"/>
  <c r="BA7" i="1" s="1"/>
  <c r="BB7" i="1" s="1"/>
  <c r="AB7" i="1"/>
  <c r="Z5" i="1"/>
  <c r="AE5" i="1"/>
  <c r="AF5" i="1" s="1"/>
  <c r="CI39" i="1"/>
  <c r="CG39" i="1"/>
  <c r="CZ39" i="1" s="1"/>
  <c r="CE14" i="1"/>
  <c r="CC14" i="1"/>
  <c r="BI6" i="1"/>
  <c r="BL6" i="1"/>
  <c r="BM6" i="1" s="1"/>
  <c r="AL13" i="1"/>
  <c r="AI13" i="1"/>
  <c r="AJ13" i="1" s="1"/>
  <c r="AI7" i="1"/>
  <c r="AJ7" i="1" s="1"/>
  <c r="AL7" i="1"/>
  <c r="BL5" i="1"/>
  <c r="BM5" i="1" s="1"/>
  <c r="BI5" i="1"/>
  <c r="CG15" i="1"/>
  <c r="CI15" i="1"/>
  <c r="Z3" i="1"/>
  <c r="AE3" i="1"/>
  <c r="AF3" i="1" s="1"/>
  <c r="BT14" i="1"/>
  <c r="BU14" i="1" s="1"/>
  <c r="BV14" i="1" s="1"/>
  <c r="CC43" i="1"/>
  <c r="CE43" i="1"/>
  <c r="BL3" i="1"/>
  <c r="BM3" i="1" s="1"/>
  <c r="BI3" i="1"/>
  <c r="AE6" i="1"/>
  <c r="AF6" i="1" s="1"/>
  <c r="Z6" i="1"/>
  <c r="CG49" i="1"/>
  <c r="CZ49" i="1" s="1"/>
  <c r="CI49" i="1"/>
  <c r="BU43" i="1"/>
  <c r="BV43" i="1" s="1"/>
  <c r="BT43" i="1"/>
  <c r="CI50" i="1"/>
  <c r="CG50" i="1"/>
  <c r="CZ50" i="1" s="1"/>
  <c r="AM14" i="1"/>
  <c r="AN14" i="1" s="1"/>
  <c r="AO14" i="1" s="1"/>
  <c r="CI43" i="1" l="1"/>
  <c r="CG43" i="1"/>
  <c r="BK5" i="1"/>
  <c r="BX5" i="1" s="1"/>
  <c r="BY5" i="1" s="1"/>
  <c r="BZ5" i="1" s="1"/>
  <c r="CA5" i="1" s="1"/>
  <c r="CB5" i="1" s="1"/>
  <c r="CF5" i="1" s="1"/>
  <c r="CL5" i="1" s="1"/>
  <c r="BJ5" i="1"/>
  <c r="CE13" i="1"/>
  <c r="CC13" i="1"/>
  <c r="AN7" i="1"/>
  <c r="AO7" i="1" s="1"/>
  <c r="AM7" i="1"/>
  <c r="BT13" i="1"/>
  <c r="BU13" i="1"/>
  <c r="BV13" i="1" s="1"/>
  <c r="AD6" i="1"/>
  <c r="AX6" i="1" s="1"/>
  <c r="AY6" i="1" s="1"/>
  <c r="AZ6" i="1" s="1"/>
  <c r="BA6" i="1" s="1"/>
  <c r="BB6" i="1" s="1"/>
  <c r="AB6" i="1"/>
  <c r="AI3" i="1"/>
  <c r="AJ3" i="1" s="1"/>
  <c r="AL3" i="1"/>
  <c r="AM13" i="1"/>
  <c r="AN13" i="1" s="1"/>
  <c r="AO13" i="1" s="1"/>
  <c r="AL5" i="1"/>
  <c r="AI5" i="1"/>
  <c r="AJ5" i="1" s="1"/>
  <c r="BU7" i="1"/>
  <c r="BV7" i="1" s="1"/>
  <c r="BT7" i="1"/>
  <c r="AL6" i="1"/>
  <c r="AI6" i="1"/>
  <c r="AJ6" i="1" s="1"/>
  <c r="AB3" i="1"/>
  <c r="AD3" i="1"/>
  <c r="AX3" i="1" s="1"/>
  <c r="AY3" i="1" s="1"/>
  <c r="AZ3" i="1" s="1"/>
  <c r="BA3" i="1" s="1"/>
  <c r="BB3" i="1" s="1"/>
  <c r="AD5" i="1"/>
  <c r="AX5" i="1" s="1"/>
  <c r="AY5" i="1" s="1"/>
  <c r="AZ5" i="1" s="1"/>
  <c r="BA5" i="1" s="1"/>
  <c r="BB5" i="1" s="1"/>
  <c r="AB5" i="1"/>
  <c r="CI14" i="1"/>
  <c r="CG14" i="1"/>
  <c r="BK3" i="1"/>
  <c r="BX3" i="1" s="1"/>
  <c r="BY3" i="1" s="1"/>
  <c r="BZ3" i="1" s="1"/>
  <c r="CA3" i="1" s="1"/>
  <c r="CB3" i="1" s="1"/>
  <c r="CF3" i="1" s="1"/>
  <c r="CL3" i="1" s="1"/>
  <c r="BJ3" i="1"/>
  <c r="BP6" i="1"/>
  <c r="BQ6" i="1" s="1"/>
  <c r="BS6" i="1"/>
  <c r="BP5" i="1"/>
  <c r="BQ5" i="1" s="1"/>
  <c r="BS5" i="1"/>
  <c r="BS3" i="1"/>
  <c r="BP3" i="1"/>
  <c r="BQ3" i="1" s="1"/>
  <c r="BK6" i="1"/>
  <c r="BX6" i="1" s="1"/>
  <c r="BY6" i="1" s="1"/>
  <c r="BZ6" i="1" s="1"/>
  <c r="CA6" i="1" s="1"/>
  <c r="CB6" i="1" s="1"/>
  <c r="CF6" i="1" s="1"/>
  <c r="CL6" i="1" s="1"/>
  <c r="BJ6" i="1"/>
  <c r="CE7" i="1"/>
  <c r="CC7" i="1"/>
  <c r="CC3" i="1" l="1"/>
  <c r="CE3" i="1"/>
  <c r="AM3" i="1"/>
  <c r="AN3" i="1" s="1"/>
  <c r="AO3" i="1" s="1"/>
  <c r="CI13" i="1"/>
  <c r="CG13" i="1"/>
  <c r="CI7" i="1"/>
  <c r="CG7" i="1"/>
  <c r="AM6" i="1"/>
  <c r="AN6" i="1"/>
  <c r="AO6" i="1" s="1"/>
  <c r="BT3" i="1"/>
  <c r="BU3" i="1" s="1"/>
  <c r="BV3" i="1" s="1"/>
  <c r="CC6" i="1"/>
  <c r="CE6" i="1"/>
  <c r="AN5" i="1"/>
  <c r="AO5" i="1" s="1"/>
  <c r="AM5" i="1"/>
  <c r="BT6" i="1"/>
  <c r="BU6" i="1"/>
  <c r="BV6" i="1" s="1"/>
  <c r="BT5" i="1"/>
  <c r="BU5" i="1" s="1"/>
  <c r="BV5" i="1" s="1"/>
  <c r="CC5" i="1"/>
  <c r="CE5" i="1"/>
  <c r="CI6" i="1" l="1"/>
  <c r="CG6" i="1"/>
  <c r="CI3" i="1"/>
  <c r="CG3" i="1"/>
  <c r="CI5" i="1"/>
  <c r="CG5" i="1"/>
</calcChain>
</file>

<file path=xl/sharedStrings.xml><?xml version="1.0" encoding="utf-8"?>
<sst xmlns="http://schemas.openxmlformats.org/spreadsheetml/2006/main" count="557" uniqueCount="135">
  <si>
    <t>№ начало  участка</t>
  </si>
  <si>
    <t>№ конец участка</t>
  </si>
  <si>
    <t>Расход    на ОВ,  Гкал/час</t>
  </si>
  <si>
    <t>Расход    на ГВС,  Гкал/час</t>
  </si>
  <si>
    <t>Потери тепла ОВ+ГВС 4%,  Гкал/час</t>
  </si>
  <si>
    <t>Расход    на ОВ+потери,  Гкал/час</t>
  </si>
  <si>
    <t>Расход    на ГВС+потери,  Гкал/час</t>
  </si>
  <si>
    <t>Расход    на ОВ+ГВС+потери,  Гкал/час</t>
  </si>
  <si>
    <t>Расход массовый на ОВ+ГВС, т/ч</t>
  </si>
  <si>
    <t>Расход объемный на ОВ+ГВС м3/ч</t>
  </si>
  <si>
    <t>Диаметр наружный,  мм</t>
  </si>
  <si>
    <t>х</t>
  </si>
  <si>
    <t>Толщина стенки, мм</t>
  </si>
  <si>
    <t>Длина по плану l,        м</t>
  </si>
  <si>
    <t xml:space="preserve">Коэфициент местных сопротивлений </t>
  </si>
  <si>
    <t>Длина расчетная l+lэ               м</t>
  </si>
  <si>
    <t>Скорость воды, м/с</t>
  </si>
  <si>
    <t>Площадь сечения, s,м2</t>
  </si>
  <si>
    <t>Эквивалентная шероховатость труб, ke м</t>
  </si>
  <si>
    <t>Материал трубы</t>
  </si>
  <si>
    <t>Вид прокладки</t>
  </si>
  <si>
    <t>Средний удельный вес теплоносителя на участке, кгс/м3</t>
  </si>
  <si>
    <t>Динамическая вязкость, кгс*сек/м2</t>
  </si>
  <si>
    <t>Кинематическая вязкость, м2/сек</t>
  </si>
  <si>
    <t>Плотность воды при данной температуре кг/м3</t>
  </si>
  <si>
    <t>Число рейнольдса Re</t>
  </si>
  <si>
    <t>Предельное число Рейнольдса Re</t>
  </si>
  <si>
    <t>Коэффициент гидравлического трения λ, сталь</t>
  </si>
  <si>
    <t>Коэффициент гидравлического трения для квадратичного закона λ, сталь</t>
  </si>
  <si>
    <t>Коэффициент гидравлического трения, сталь, на итог</t>
  </si>
  <si>
    <t>Rеф= V*d/η</t>
  </si>
  <si>
    <t>lgRеф</t>
  </si>
  <si>
    <t>Reкв= 500*d/kэ</t>
  </si>
  <si>
    <t>lgRекв</t>
  </si>
  <si>
    <t>b=1+   lgRеф/ lgRекв</t>
  </si>
  <si>
    <t>b</t>
  </si>
  <si>
    <t>lg3,7d/kэ</t>
  </si>
  <si>
    <t>lgReф-1</t>
  </si>
  <si>
    <t>1,312*(2-b)*lg(3,7d/kэ)/(lgReф-1)</t>
  </si>
  <si>
    <t>λ^1/2</t>
  </si>
  <si>
    <t>Коэффициент гидравлического трения λ для пластика</t>
  </si>
  <si>
    <t>t1    ОВ</t>
  </si>
  <si>
    <t>С    ОВ</t>
  </si>
  <si>
    <t>Δt ОВ</t>
  </si>
  <si>
    <t>Плотность при данной температуре ρ,  т/м3</t>
  </si>
  <si>
    <t>t1  ГВС</t>
  </si>
  <si>
    <t>t1 ГВС</t>
  </si>
  <si>
    <t>Δt ГВС</t>
  </si>
  <si>
    <t>Двн, м</t>
  </si>
  <si>
    <t>Коэффициент гидравлического трения, итог</t>
  </si>
  <si>
    <t>Удельная потеря давления на трение в одном трубопроводе, кгс/м2</t>
  </si>
  <si>
    <t>Удельная потеря давления в одном трубопроводе, Па/м</t>
  </si>
  <si>
    <t>Удельная   потеря напора в одном трубопроводе, Δh, мм/м</t>
  </si>
  <si>
    <t>Фактическая потеря напора по участкам в одном трубопроводе, м.в.ст</t>
  </si>
  <si>
    <t>Расход объемный на ОВ м3/ч</t>
  </si>
  <si>
    <t>Удельная потеря давления в одном трубопроводе, кгс/м2</t>
  </si>
  <si>
    <t>Суммарная потеря напора по участкам в двух трубопроводах м.в.ст.</t>
  </si>
  <si>
    <t>Потеря напора у абонента, м.в.ст</t>
  </si>
  <si>
    <t>Полное давление в подающем трубопроводе м.в.ст. Р1 =</t>
  </si>
  <si>
    <t>Полное давление в обратном трубопроводе м.в.ст. Р2 =</t>
  </si>
  <si>
    <t xml:space="preserve">Перепад давления в конце участка м.в.ст.  </t>
  </si>
  <si>
    <t>Максимальное допустимое давление, м вод. ст.</t>
  </si>
  <si>
    <t>Пьезометрический напор в подающем трубопроводе м.в.ст. Р1</t>
  </si>
  <si>
    <t>Условие</t>
  </si>
  <si>
    <t>Давление невскип, м в. ст. Р1</t>
  </si>
  <si>
    <t>Пьезометрический напор в обратном трубопроводе м.в.ст. Р2</t>
  </si>
  <si>
    <t>Давление невскип, м в. ст. Р2</t>
  </si>
  <si>
    <t>Условие,м в. ст.</t>
  </si>
  <si>
    <t>Абсолютная отметка оси труб в котельной, м</t>
  </si>
  <si>
    <t>Абсолютная отметка земли (оси труб), м</t>
  </si>
  <si>
    <t xml:space="preserve">Разница асолютных отметок, м </t>
  </si>
  <si>
    <t>Высота здания, м</t>
  </si>
  <si>
    <t xml:space="preserve">Линия статич. напора, м вод. ст.         </t>
  </si>
  <si>
    <t>Устовие, м вод. ст.</t>
  </si>
  <si>
    <t>Пьезометрическое давление в местной системе при статическом режиме, м вод. ст. =</t>
  </si>
  <si>
    <t>Давление невскип, м в. ст. Р1 при     t=</t>
  </si>
  <si>
    <t>Суммарный объем воды в трубах, м3</t>
  </si>
  <si>
    <t>1</t>
  </si>
  <si>
    <t>2</t>
  </si>
  <si>
    <t>сталь</t>
  </si>
  <si>
    <t>Подземная</t>
  </si>
  <si>
    <t>160&gt;</t>
  </si>
  <si>
    <t>&gt;</t>
  </si>
  <si>
    <t>&gt;5</t>
  </si>
  <si>
    <t>1я очередь</t>
  </si>
  <si>
    <t>4</t>
  </si>
  <si>
    <t>100&gt;</t>
  </si>
  <si>
    <t>6</t>
  </si>
  <si>
    <t>8</t>
  </si>
  <si>
    <t>3</t>
  </si>
  <si>
    <t>60&gt;</t>
  </si>
  <si>
    <t>5</t>
  </si>
  <si>
    <t>7</t>
  </si>
  <si>
    <t>9</t>
  </si>
  <si>
    <t>2я очередь</t>
  </si>
  <si>
    <t>10</t>
  </si>
  <si>
    <t>11</t>
  </si>
  <si>
    <t>12</t>
  </si>
  <si>
    <t>14</t>
  </si>
  <si>
    <t>16</t>
  </si>
  <si>
    <t>18</t>
  </si>
  <si>
    <t>20</t>
  </si>
  <si>
    <t>22</t>
  </si>
  <si>
    <t>24</t>
  </si>
  <si>
    <t>26</t>
  </si>
  <si>
    <t>23</t>
  </si>
  <si>
    <t>17</t>
  </si>
  <si>
    <t>3я очередь</t>
  </si>
  <si>
    <t>25</t>
  </si>
  <si>
    <t>21</t>
  </si>
  <si>
    <t>19</t>
  </si>
  <si>
    <t>15</t>
  </si>
  <si>
    <t>4я очередь</t>
  </si>
  <si>
    <t>36</t>
  </si>
  <si>
    <t>38</t>
  </si>
  <si>
    <t>40</t>
  </si>
  <si>
    <t>42</t>
  </si>
  <si>
    <t>44</t>
  </si>
  <si>
    <t>37</t>
  </si>
  <si>
    <t>43</t>
  </si>
  <si>
    <t>39</t>
  </si>
  <si>
    <t>41</t>
  </si>
  <si>
    <t>45</t>
  </si>
  <si>
    <t>46</t>
  </si>
  <si>
    <t>5я, 6я очередь</t>
  </si>
  <si>
    <t>27</t>
  </si>
  <si>
    <t>29</t>
  </si>
  <si>
    <t>31</t>
  </si>
  <si>
    <t>33</t>
  </si>
  <si>
    <t>13</t>
  </si>
  <si>
    <t>28</t>
  </si>
  <si>
    <t>30</t>
  </si>
  <si>
    <t>32</t>
  </si>
  <si>
    <t>35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</si>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</sst>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"/>
    <numFmt numFmtId="165" formatCode="0.000000"/>
    <numFmt numFmtId="166" formatCode="0.0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7" xfId="0" applyFont="1" applyBorder="1" applyAlignment="1">
      <alignment horizontal="center" vertical="center"/>
    </xf>
    <xf numFmtId="0" fontId="0" fillId="0" borderId="0" xfId="0" applyFont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2" fillId="9" borderId="26" xfId="0" applyNumberFormat="1" applyFont="1" applyFill="1" applyBorder="1" applyAlignment="1">
      <alignment horizontal="center" vertical="center"/>
    </xf>
    <xf numFmtId="49" fontId="2" fillId="9" borderId="21" xfId="0" applyNumberFormat="1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2" fontId="4" fillId="9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9" borderId="26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top" wrapText="1"/>
    </xf>
    <xf numFmtId="3" fontId="2" fillId="9" borderId="7" xfId="0" applyNumberFormat="1" applyFont="1" applyFill="1" applyBorder="1" applyAlignment="1">
      <alignment horizontal="center" vertical="center"/>
    </xf>
    <xf numFmtId="165" fontId="2" fillId="9" borderId="7" xfId="0" applyNumberFormat="1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center"/>
    </xf>
    <xf numFmtId="166" fontId="2" fillId="9" borderId="7" xfId="0" applyNumberFormat="1" applyFont="1" applyFill="1" applyBorder="1" applyAlignment="1">
      <alignment horizontal="center" vertical="top" wrapText="1"/>
    </xf>
    <xf numFmtId="0" fontId="2" fillId="9" borderId="2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0" fillId="9" borderId="7" xfId="0" applyFont="1" applyFill="1" applyBorder="1"/>
    <xf numFmtId="0" fontId="0" fillId="9" borderId="7" xfId="0" applyFont="1" applyFill="1" applyBorder="1" applyAlignment="1">
      <alignment horizontal="center" vertical="center"/>
    </xf>
    <xf numFmtId="49" fontId="2" fillId="11" borderId="29" xfId="0" applyNumberFormat="1" applyFont="1" applyFill="1" applyBorder="1" applyAlignment="1">
      <alignment horizontal="center" vertical="center"/>
    </xf>
    <xf numFmtId="49" fontId="2" fillId="11" borderId="30" xfId="0" applyNumberFormat="1" applyFont="1" applyFill="1" applyBorder="1" applyAlignment="1">
      <alignment horizontal="center" vertical="center"/>
    </xf>
    <xf numFmtId="49" fontId="2" fillId="11" borderId="27" xfId="0" applyNumberFormat="1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21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top" wrapText="1"/>
    </xf>
    <xf numFmtId="164" fontId="2" fillId="11" borderId="7" xfId="0" applyNumberFormat="1" applyFont="1" applyFill="1" applyBorder="1" applyAlignment="1">
      <alignment horizontal="center" vertical="top" wrapText="1"/>
    </xf>
    <xf numFmtId="3" fontId="2" fillId="11" borderId="7" xfId="0" applyNumberFormat="1" applyFont="1" applyFill="1" applyBorder="1" applyAlignment="1">
      <alignment horizontal="center" vertical="center"/>
    </xf>
    <xf numFmtId="165" fontId="2" fillId="11" borderId="7" xfId="0" applyNumberFormat="1" applyFont="1" applyFill="1" applyBorder="1" applyAlignment="1">
      <alignment horizontal="center" vertical="top" wrapText="1"/>
    </xf>
    <xf numFmtId="164" fontId="2" fillId="11" borderId="7" xfId="0" applyNumberFormat="1" applyFont="1" applyFill="1" applyBorder="1" applyAlignment="1">
      <alignment horizontal="center" vertical="center"/>
    </xf>
    <xf numFmtId="166" fontId="2" fillId="11" borderId="7" xfId="0" applyNumberFormat="1" applyFont="1" applyFill="1" applyBorder="1" applyAlignment="1">
      <alignment horizontal="center" vertical="top" wrapText="1"/>
    </xf>
    <xf numFmtId="0" fontId="2" fillId="11" borderId="25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2" fillId="11" borderId="27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horizontal="center" vertical="center"/>
    </xf>
    <xf numFmtId="0" fontId="2" fillId="11" borderId="28" xfId="0" applyFont="1" applyFill="1" applyBorder="1" applyAlignment="1">
      <alignment horizontal="center" vertical="center"/>
    </xf>
    <xf numFmtId="0" fontId="0" fillId="11" borderId="7" xfId="0" applyFont="1" applyFill="1" applyBorder="1" applyAlignment="1">
      <alignment horizontal="center" vertical="center"/>
    </xf>
    <xf numFmtId="0" fontId="0" fillId="11" borderId="7" xfId="0" applyFont="1" applyFill="1" applyBorder="1"/>
    <xf numFmtId="49" fontId="2" fillId="12" borderId="26" xfId="0" applyNumberFormat="1" applyFont="1" applyFill="1" applyBorder="1" applyAlignment="1">
      <alignment horizontal="center" vertical="center"/>
    </xf>
    <xf numFmtId="49" fontId="2" fillId="12" borderId="21" xfId="0" applyNumberFormat="1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2" fontId="4" fillId="12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12" borderId="26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top" wrapText="1"/>
    </xf>
    <xf numFmtId="164" fontId="2" fillId="12" borderId="7" xfId="0" applyNumberFormat="1" applyFont="1" applyFill="1" applyBorder="1" applyAlignment="1">
      <alignment horizontal="center" vertical="top" wrapText="1"/>
    </xf>
    <xf numFmtId="3" fontId="2" fillId="12" borderId="7" xfId="0" applyNumberFormat="1" applyFont="1" applyFill="1" applyBorder="1" applyAlignment="1">
      <alignment horizontal="center" vertical="center"/>
    </xf>
    <xf numFmtId="165" fontId="2" fillId="12" borderId="7" xfId="0" applyNumberFormat="1" applyFont="1" applyFill="1" applyBorder="1" applyAlignment="1">
      <alignment horizontal="center" vertical="top" wrapText="1"/>
    </xf>
    <xf numFmtId="164" fontId="2" fillId="12" borderId="7" xfId="0" applyNumberFormat="1" applyFont="1" applyFill="1" applyBorder="1" applyAlignment="1">
      <alignment horizontal="center" vertical="center"/>
    </xf>
    <xf numFmtId="166" fontId="2" fillId="12" borderId="7" xfId="0" applyNumberFormat="1" applyFont="1" applyFill="1" applyBorder="1" applyAlignment="1">
      <alignment horizontal="center" vertical="top" wrapText="1"/>
    </xf>
    <xf numFmtId="0" fontId="2" fillId="12" borderId="25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/>
    </xf>
    <xf numFmtId="0" fontId="2" fillId="12" borderId="27" xfId="0" applyFont="1" applyFill="1" applyBorder="1" applyAlignment="1">
      <alignment horizontal="center" vertical="center"/>
    </xf>
    <xf numFmtId="0" fontId="2" fillId="12" borderId="26" xfId="0" applyFont="1" applyFill="1" applyBorder="1" applyAlignment="1">
      <alignment horizontal="center" vertical="center"/>
    </xf>
    <xf numFmtId="0" fontId="2" fillId="12" borderId="28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7" xfId="0" applyFont="1" applyFill="1" applyBorder="1"/>
    <xf numFmtId="49" fontId="5" fillId="11" borderId="29" xfId="0" applyNumberFormat="1" applyFont="1" applyFill="1" applyBorder="1" applyAlignment="1">
      <alignment horizontal="center" vertical="center"/>
    </xf>
    <xf numFmtId="49" fontId="5" fillId="11" borderId="30" xfId="0" applyNumberFormat="1" applyFont="1" applyFill="1" applyBorder="1" applyAlignment="1">
      <alignment horizontal="center" vertical="center"/>
    </xf>
    <xf numFmtId="49" fontId="5" fillId="11" borderId="27" xfId="0" applyNumberFormat="1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21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top" wrapText="1"/>
    </xf>
    <xf numFmtId="164" fontId="5" fillId="11" borderId="7" xfId="0" applyNumberFormat="1" applyFont="1" applyFill="1" applyBorder="1" applyAlignment="1">
      <alignment horizontal="center" vertical="top" wrapText="1"/>
    </xf>
    <xf numFmtId="3" fontId="5" fillId="11" borderId="7" xfId="0" applyNumberFormat="1" applyFont="1" applyFill="1" applyBorder="1" applyAlignment="1">
      <alignment horizontal="center" vertical="center"/>
    </xf>
    <xf numFmtId="165" fontId="5" fillId="11" borderId="7" xfId="0" applyNumberFormat="1" applyFont="1" applyFill="1" applyBorder="1" applyAlignment="1">
      <alignment horizontal="center" vertical="top" wrapText="1"/>
    </xf>
    <xf numFmtId="164" fontId="5" fillId="11" borderId="7" xfId="0" applyNumberFormat="1" applyFont="1" applyFill="1" applyBorder="1" applyAlignment="1">
      <alignment horizontal="center" vertical="center"/>
    </xf>
    <xf numFmtId="166" fontId="5" fillId="11" borderId="7" xfId="0" applyNumberFormat="1" applyFont="1" applyFill="1" applyBorder="1" applyAlignment="1">
      <alignment horizontal="center" vertical="top" wrapText="1"/>
    </xf>
    <xf numFmtId="0" fontId="5" fillId="11" borderId="25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/>
    </xf>
    <xf numFmtId="0" fontId="1" fillId="11" borderId="7" xfId="0" applyFont="1" applyFill="1" applyBorder="1"/>
    <xf numFmtId="0" fontId="1" fillId="11" borderId="7" xfId="0" applyFont="1" applyFill="1" applyBorder="1" applyAlignment="1">
      <alignment horizontal="center" vertical="center"/>
    </xf>
    <xf numFmtId="49" fontId="2" fillId="11" borderId="31" xfId="0" applyNumberFormat="1" applyFont="1" applyFill="1" applyBorder="1" applyAlignment="1">
      <alignment horizontal="center" vertical="center"/>
    </xf>
    <xf numFmtId="49" fontId="2" fillId="11" borderId="32" xfId="0" applyNumberFormat="1" applyFont="1" applyFill="1" applyBorder="1" applyAlignment="1">
      <alignment horizontal="center" vertical="center"/>
    </xf>
    <xf numFmtId="49" fontId="2" fillId="11" borderId="33" xfId="0" applyNumberFormat="1" applyFont="1" applyFill="1" applyBorder="1" applyAlignment="1">
      <alignment horizontal="center" vertical="center"/>
    </xf>
    <xf numFmtId="49" fontId="2" fillId="12" borderId="34" xfId="0" applyNumberFormat="1" applyFont="1" applyFill="1" applyBorder="1" applyAlignment="1">
      <alignment horizontal="center" vertical="center"/>
    </xf>
    <xf numFmtId="49" fontId="2" fillId="12" borderId="35" xfId="0" applyNumberFormat="1" applyFont="1" applyFill="1" applyBorder="1" applyAlignment="1">
      <alignment horizontal="center" vertical="center"/>
    </xf>
    <xf numFmtId="49" fontId="2" fillId="11" borderId="7" xfId="0" applyNumberFormat="1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49" fontId="2" fillId="9" borderId="15" xfId="0" applyNumberFormat="1" applyFont="1" applyFill="1" applyBorder="1" applyAlignment="1">
      <alignment horizontal="center" vertical="center"/>
    </xf>
    <xf numFmtId="49" fontId="2" fillId="9" borderId="16" xfId="0" applyNumberFormat="1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2" fontId="4" fillId="9" borderId="19" xfId="0" applyNumberFormat="1" applyFont="1" applyFill="1" applyBorder="1" applyAlignment="1" applyProtection="1">
      <alignment horizontal="center" vertical="center" wrapText="1"/>
      <protection hidden="1"/>
    </xf>
    <xf numFmtId="0" fontId="3" fillId="9" borderId="15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top" wrapText="1"/>
    </xf>
    <xf numFmtId="164" fontId="2" fillId="9" borderId="18" xfId="0" applyNumberFormat="1" applyFont="1" applyFill="1" applyBorder="1" applyAlignment="1">
      <alignment horizontal="center" vertical="top" wrapText="1"/>
    </xf>
    <xf numFmtId="3" fontId="2" fillId="9" borderId="18" xfId="0" applyNumberFormat="1" applyFont="1" applyFill="1" applyBorder="1" applyAlignment="1">
      <alignment horizontal="center" vertical="center"/>
    </xf>
    <xf numFmtId="165" fontId="2" fillId="9" borderId="18" xfId="0" applyNumberFormat="1" applyFont="1" applyFill="1" applyBorder="1" applyAlignment="1">
      <alignment horizontal="center" vertical="top" wrapText="1"/>
    </xf>
    <xf numFmtId="164" fontId="2" fillId="9" borderId="18" xfId="0" applyNumberFormat="1" applyFont="1" applyFill="1" applyBorder="1" applyAlignment="1">
      <alignment horizontal="center" vertical="center"/>
    </xf>
    <xf numFmtId="166" fontId="2" fillId="9" borderId="18" xfId="0" applyNumberFormat="1" applyFont="1" applyFill="1" applyBorder="1" applyAlignment="1">
      <alignment horizontal="center" vertical="top" wrapText="1"/>
    </xf>
    <xf numFmtId="0" fontId="2" fillId="9" borderId="19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0" fontId="0" fillId="9" borderId="18" xfId="0" applyFont="1" applyFill="1" applyBorder="1" applyAlignment="1">
      <alignment horizontal="center" vertical="center"/>
    </xf>
    <xf numFmtId="0" fontId="0" fillId="9" borderId="18" xfId="0" applyFont="1" applyFill="1" applyBorder="1"/>
    <xf numFmtId="49" fontId="2" fillId="12" borderId="37" xfId="0" applyNumberFormat="1" applyFont="1" applyFill="1" applyBorder="1" applyAlignment="1">
      <alignment horizontal="center" vertical="center"/>
    </xf>
    <xf numFmtId="49" fontId="2" fillId="12" borderId="38" xfId="0" applyNumberFormat="1" applyFont="1" applyFill="1" applyBorder="1" applyAlignment="1">
      <alignment horizontal="center" vertical="center"/>
    </xf>
    <xf numFmtId="0" fontId="0" fillId="0" borderId="39" xfId="0" applyFont="1" applyBorder="1"/>
    <xf numFmtId="0" fontId="0" fillId="0" borderId="40" xfId="0" applyFont="1" applyBorder="1"/>
    <xf numFmtId="0" fontId="6" fillId="0" borderId="39" xfId="0" applyFont="1" applyBorder="1"/>
    <xf numFmtId="0" fontId="0" fillId="0" borderId="0" xfId="0" applyFont="1" applyBorder="1"/>
    <xf numFmtId="0" fontId="6" fillId="0" borderId="0" xfId="0" applyFont="1"/>
    <xf numFmtId="0" fontId="0" fillId="0" borderId="0" xfId="0" applyFont="1" applyAlignment="1">
      <alignment vertical="top" wrapText="1"/>
    </xf>
    <xf numFmtId="0" fontId="0" fillId="0" borderId="7" xfId="0" applyFont="1" applyBorder="1" applyAlignment="1">
      <alignment horizontal="center"/>
    </xf>
    <xf numFmtId="0" fontId="0" fillId="0" borderId="41" xfId="0" applyFont="1" applyBorder="1"/>
    <xf numFmtId="0" fontId="0" fillId="0" borderId="25" xfId="0" applyFont="1" applyBorder="1"/>
    <xf numFmtId="0" fontId="0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2"/>
  <sheetViews>
    <sheetView tabSelected="1" workbookViewId="0">
      <selection activeCell="N3" sqref="N3:N52"/>
    </sheetView>
  </sheetViews>
  <sheetFormatPr defaultRowHeight="15" x14ac:dyDescent="0.25"/>
  <cols>
    <col min="1" max="1" width="4.7109375" style="194" customWidth="1"/>
    <col min="2" max="2" width="5.7109375" style="195" customWidth="1"/>
    <col min="3" max="4" width="9.85546875" style="43" customWidth="1"/>
    <col min="5" max="5" width="9.140625" style="43" hidden="1" customWidth="1"/>
    <col min="6" max="7" width="8.85546875" style="43" hidden="1" customWidth="1"/>
    <col min="8" max="8" width="8.85546875" style="43" customWidth="1"/>
    <col min="9" max="9" width="9.140625" style="43" customWidth="1"/>
    <col min="10" max="10" width="10.5703125" style="43" customWidth="1"/>
    <col min="11" max="11" width="7.140625" style="196" customWidth="1"/>
    <col min="12" max="12" width="5.85546875" style="197" customWidth="1"/>
    <col min="13" max="13" width="4.42578125" style="195" customWidth="1"/>
    <col min="14" max="14" width="7.5703125" style="198" customWidth="1"/>
    <col min="15" max="15" width="8.5703125" style="43" hidden="1" customWidth="1"/>
    <col min="16" max="16" width="7.28515625" style="43" hidden="1" customWidth="1"/>
    <col min="17" max="17" width="12" style="43" bestFit="1" customWidth="1"/>
    <col min="18" max="18" width="9.140625" style="43" hidden="1" customWidth="1"/>
    <col min="19" max="19" width="8.85546875" style="43" hidden="1" customWidth="1"/>
    <col min="20" max="20" width="6.42578125" style="43" hidden="1" customWidth="1"/>
    <col min="21" max="21" width="11.7109375" style="43" hidden="1" customWidth="1"/>
    <col min="22" max="22" width="9.85546875" style="43" hidden="1" customWidth="1"/>
    <col min="23" max="23" width="9.140625" style="199" hidden="1" customWidth="1"/>
    <col min="24" max="24" width="11.7109375" style="199" hidden="1" customWidth="1"/>
    <col min="25" max="25" width="9.140625" style="43" hidden="1" customWidth="1"/>
    <col min="26" max="26" width="13.5703125" style="43" hidden="1" customWidth="1"/>
    <col min="27" max="27" width="9.5703125" style="43" hidden="1" customWidth="1"/>
    <col min="28" max="28" width="9.140625" style="43" hidden="1" customWidth="1"/>
    <col min="29" max="29" width="13.42578125" style="43" hidden="1" customWidth="1"/>
    <col min="30" max="30" width="9.140625" style="199" hidden="1" customWidth="1"/>
    <col min="31" max="35" width="9.140625" style="43" hidden="1" customWidth="1"/>
    <col min="36" max="36" width="8.7109375" style="43" hidden="1" customWidth="1"/>
    <col min="37" max="37" width="7.85546875" style="43" hidden="1" customWidth="1"/>
    <col min="38" max="38" width="9.140625" style="43" hidden="1" customWidth="1"/>
    <col min="39" max="39" width="8.140625" style="43" hidden="1" customWidth="1"/>
    <col min="40" max="40" width="3.5703125" style="43" hidden="1" customWidth="1"/>
    <col min="41" max="41" width="9.140625" style="43" hidden="1" customWidth="1"/>
    <col min="42" max="42" width="5.7109375" style="43" customWidth="1"/>
    <col min="43" max="43" width="4.7109375" style="43" customWidth="1"/>
    <col min="44" max="44" width="4.28515625" style="43" customWidth="1"/>
    <col min="45" max="45" width="10.28515625" style="43" hidden="1" customWidth="1"/>
    <col min="46" max="46" width="5.140625" style="43" customWidth="1"/>
    <col min="47" max="47" width="6" style="43" customWidth="1"/>
    <col min="48" max="48" width="5" style="43" customWidth="1"/>
    <col min="49" max="49" width="7.42578125" style="43" hidden="1" customWidth="1"/>
    <col min="50" max="50" width="8.140625" style="43" hidden="1" customWidth="1"/>
    <col min="51" max="51" width="10.140625" style="43" hidden="1" customWidth="1"/>
    <col min="52" max="52" width="9.140625" style="43" hidden="1" customWidth="1"/>
    <col min="53" max="53" width="9.42578125" style="43" hidden="1" customWidth="1"/>
    <col min="54" max="54" width="12.85546875" style="43" hidden="1" customWidth="1"/>
    <col min="55" max="57" width="9.140625" style="43" hidden="1" customWidth="1"/>
    <col min="58" max="58" width="12.85546875" style="43" hidden="1" customWidth="1"/>
    <col min="59" max="59" width="12.42578125" style="43" hidden="1" customWidth="1"/>
    <col min="60" max="60" width="10.5703125" style="43" hidden="1" customWidth="1"/>
    <col min="61" max="62" width="9.140625" style="43" hidden="1" customWidth="1"/>
    <col min="63" max="63" width="9.140625" style="199" hidden="1" customWidth="1"/>
    <col min="64" max="75" width="9.140625" style="43" hidden="1" customWidth="1"/>
    <col min="76" max="76" width="8.140625" style="43" hidden="1" customWidth="1"/>
    <col min="77" max="78" width="9.7109375" style="43" customWidth="1"/>
    <col min="79" max="79" width="9.5703125" style="43" customWidth="1"/>
    <col min="80" max="80" width="12.28515625" style="43" hidden="1" customWidth="1"/>
    <col min="81" max="81" width="10.85546875" style="43" hidden="1" customWidth="1"/>
    <col min="82" max="82" width="7.140625" style="200" hidden="1" customWidth="1"/>
    <col min="83" max="83" width="10.140625" style="197" hidden="1" customWidth="1"/>
    <col min="84" max="84" width="10" style="195" hidden="1" customWidth="1"/>
    <col min="85" max="85" width="0" style="195" hidden="1" customWidth="1"/>
    <col min="86" max="86" width="5.85546875" style="194" hidden="1" customWidth="1"/>
    <col min="87" max="87" width="11" style="197" hidden="1" customWidth="1"/>
    <col min="88" max="88" width="2.42578125" style="197" hidden="1" customWidth="1"/>
    <col min="89" max="89" width="9.42578125" style="197" hidden="1" customWidth="1"/>
    <col min="90" max="90" width="9.7109375" style="201" hidden="1" customWidth="1"/>
    <col min="91" max="91" width="2.5703125" style="197" hidden="1" customWidth="1"/>
    <col min="92" max="92" width="9" style="197" hidden="1" customWidth="1"/>
    <col min="93" max="93" width="3.42578125" style="195" hidden="1" customWidth="1"/>
    <col min="94" max="96" width="9.140625" style="43" hidden="1" customWidth="1"/>
    <col min="97" max="97" width="4.85546875" style="194" hidden="1" customWidth="1"/>
    <col min="98" max="98" width="7.42578125" style="41" hidden="1" customWidth="1"/>
    <col min="99" max="99" width="4.28515625" style="202" hidden="1" customWidth="1"/>
    <col min="100" max="100" width="11.140625" style="41" hidden="1" customWidth="1"/>
    <col min="101" max="101" width="2.42578125" style="203" hidden="1" customWidth="1"/>
    <col min="102" max="102" width="9.140625" style="195" hidden="1" customWidth="1"/>
    <col min="103" max="105" width="0" style="43" hidden="1" customWidth="1"/>
    <col min="106" max="16384" width="9.140625" style="43"/>
  </cols>
  <sheetData>
    <row r="1" spans="1:124" ht="133.5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6" t="s">
        <v>10</v>
      </c>
      <c r="L1" s="7" t="s">
        <v>11</v>
      </c>
      <c r="M1" s="8" t="s">
        <v>12</v>
      </c>
      <c r="N1" s="9" t="s">
        <v>13</v>
      </c>
      <c r="O1" s="4" t="s">
        <v>14</v>
      </c>
      <c r="P1" s="4" t="s">
        <v>15</v>
      </c>
      <c r="Q1" s="10" t="s">
        <v>16</v>
      </c>
      <c r="R1" s="4" t="s">
        <v>17</v>
      </c>
      <c r="S1" s="11" t="s">
        <v>18</v>
      </c>
      <c r="T1" s="11" t="s">
        <v>19</v>
      </c>
      <c r="U1" s="12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4" t="s">
        <v>26</v>
      </c>
      <c r="AB1" s="13" t="s">
        <v>27</v>
      </c>
      <c r="AC1" s="4" t="s">
        <v>28</v>
      </c>
      <c r="AD1" s="13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3" t="s">
        <v>40</v>
      </c>
      <c r="AP1" s="13" t="s">
        <v>41</v>
      </c>
      <c r="AQ1" s="15" t="s">
        <v>42</v>
      </c>
      <c r="AR1" s="4" t="s">
        <v>43</v>
      </c>
      <c r="AS1" s="13" t="s">
        <v>44</v>
      </c>
      <c r="AT1" s="13" t="s">
        <v>45</v>
      </c>
      <c r="AU1" s="15" t="s">
        <v>46</v>
      </c>
      <c r="AV1" s="16" t="s">
        <v>47</v>
      </c>
      <c r="AW1" s="4" t="s">
        <v>48</v>
      </c>
      <c r="AX1" s="13" t="s">
        <v>49</v>
      </c>
      <c r="AY1" s="10" t="s">
        <v>50</v>
      </c>
      <c r="AZ1" s="13" t="s">
        <v>51</v>
      </c>
      <c r="BA1" s="13" t="s">
        <v>52</v>
      </c>
      <c r="BB1" s="13" t="s">
        <v>53</v>
      </c>
      <c r="BC1" s="15" t="s">
        <v>54</v>
      </c>
      <c r="BD1" s="17" t="s">
        <v>16</v>
      </c>
      <c r="BE1" s="15" t="s">
        <v>21</v>
      </c>
      <c r="BF1" s="15" t="s">
        <v>22</v>
      </c>
      <c r="BG1" s="15" t="s">
        <v>23</v>
      </c>
      <c r="BH1" s="15" t="s">
        <v>24</v>
      </c>
      <c r="BI1" s="15" t="s">
        <v>25</v>
      </c>
      <c r="BJ1" s="15" t="s">
        <v>27</v>
      </c>
      <c r="BK1" s="15" t="s">
        <v>29</v>
      </c>
      <c r="BL1" s="18" t="s">
        <v>30</v>
      </c>
      <c r="BM1" s="18" t="s">
        <v>31</v>
      </c>
      <c r="BN1" s="18" t="s">
        <v>32</v>
      </c>
      <c r="BO1" s="18" t="s">
        <v>33</v>
      </c>
      <c r="BP1" s="18" t="s">
        <v>34</v>
      </c>
      <c r="BQ1" s="18" t="s">
        <v>35</v>
      </c>
      <c r="BR1" s="18" t="s">
        <v>36</v>
      </c>
      <c r="BS1" s="18" t="s">
        <v>37</v>
      </c>
      <c r="BT1" s="18" t="s">
        <v>38</v>
      </c>
      <c r="BU1" s="18" t="s">
        <v>39</v>
      </c>
      <c r="BV1" s="15" t="s">
        <v>40</v>
      </c>
      <c r="BW1" s="15" t="s">
        <v>44</v>
      </c>
      <c r="BX1" s="15" t="s">
        <v>49</v>
      </c>
      <c r="BY1" s="17" t="s">
        <v>55</v>
      </c>
      <c r="BZ1" s="15" t="s">
        <v>51</v>
      </c>
      <c r="CA1" s="15" t="s">
        <v>52</v>
      </c>
      <c r="CB1" s="15" t="s">
        <v>53</v>
      </c>
      <c r="CC1" s="19" t="s">
        <v>56</v>
      </c>
      <c r="CD1" s="20" t="s">
        <v>57</v>
      </c>
      <c r="CE1" s="21" t="s">
        <v>58</v>
      </c>
      <c r="CF1" s="22" t="s">
        <v>59</v>
      </c>
      <c r="CG1" s="23" t="s">
        <v>60</v>
      </c>
      <c r="CH1" s="24" t="s">
        <v>61</v>
      </c>
      <c r="CI1" s="25" t="s">
        <v>62</v>
      </c>
      <c r="CJ1" s="26" t="s">
        <v>63</v>
      </c>
      <c r="CK1" s="27" t="s">
        <v>64</v>
      </c>
      <c r="CL1" s="28" t="s">
        <v>65</v>
      </c>
      <c r="CM1" s="29" t="s">
        <v>63</v>
      </c>
      <c r="CN1" s="30" t="s">
        <v>66</v>
      </c>
      <c r="CO1" s="22" t="s">
        <v>67</v>
      </c>
      <c r="CP1" s="31" t="s">
        <v>68</v>
      </c>
      <c r="CQ1" s="32" t="s">
        <v>69</v>
      </c>
      <c r="CR1" s="33" t="s">
        <v>70</v>
      </c>
      <c r="CS1" s="34" t="s">
        <v>71</v>
      </c>
      <c r="CT1" s="35" t="s">
        <v>72</v>
      </c>
      <c r="CU1" s="36" t="s">
        <v>73</v>
      </c>
      <c r="CV1" s="37" t="s">
        <v>74</v>
      </c>
      <c r="CW1" s="38" t="s">
        <v>63</v>
      </c>
      <c r="CX1" s="39" t="s">
        <v>75</v>
      </c>
      <c r="CY1" s="40" t="s">
        <v>76</v>
      </c>
      <c r="CZ1" s="41"/>
      <c r="DA1" s="41"/>
      <c r="DB1" s="41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</row>
    <row r="2" spans="1:124" ht="14.25" customHeight="1" thickBot="1" x14ac:dyDescent="0.3">
      <c r="A2" s="44"/>
      <c r="B2" s="45"/>
      <c r="C2" s="46"/>
      <c r="D2" s="46"/>
      <c r="E2" s="47"/>
      <c r="F2" s="47"/>
      <c r="G2" s="47"/>
      <c r="H2" s="47"/>
      <c r="I2" s="47"/>
      <c r="J2" s="48"/>
      <c r="K2" s="49"/>
      <c r="L2" s="47"/>
      <c r="M2" s="50"/>
      <c r="N2" s="51"/>
      <c r="O2" s="47"/>
      <c r="P2" s="47"/>
      <c r="Q2" s="52"/>
      <c r="R2" s="47"/>
      <c r="S2" s="53"/>
      <c r="T2" s="53"/>
      <c r="U2" s="54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55"/>
      <c r="AW2" s="47"/>
      <c r="AX2" s="47"/>
      <c r="AY2" s="52"/>
      <c r="AZ2" s="47"/>
      <c r="BA2" s="47"/>
      <c r="BB2" s="47"/>
      <c r="BC2" s="47"/>
      <c r="BD2" s="56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56"/>
      <c r="BZ2" s="47"/>
      <c r="CA2" s="47"/>
      <c r="CB2" s="47"/>
      <c r="CC2" s="57"/>
      <c r="CD2" s="58"/>
      <c r="CE2" s="59">
        <v>55</v>
      </c>
      <c r="CF2" s="60">
        <v>30</v>
      </c>
      <c r="CG2" s="61"/>
      <c r="CH2" s="62"/>
      <c r="CI2" s="63">
        <v>55</v>
      </c>
      <c r="CJ2" s="64"/>
      <c r="CK2" s="65"/>
      <c r="CL2" s="66">
        <v>30</v>
      </c>
      <c r="CM2" s="67"/>
      <c r="CN2" s="68"/>
      <c r="CO2" s="69"/>
      <c r="CP2" s="70"/>
      <c r="CQ2" s="71"/>
      <c r="CR2" s="72"/>
      <c r="CS2" s="73"/>
      <c r="CT2" s="74">
        <f>MAX(CT23:CT51)</f>
        <v>8.77</v>
      </c>
      <c r="CU2" s="75"/>
      <c r="CV2" s="76">
        <v>36</v>
      </c>
      <c r="CW2" s="77"/>
      <c r="CX2" s="78">
        <v>70</v>
      </c>
      <c r="CY2" s="79"/>
      <c r="CZ2" s="41"/>
      <c r="DA2" s="41"/>
      <c r="DB2" s="41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</row>
    <row r="3" spans="1:124" s="101" customFormat="1" ht="16.5" customHeight="1" x14ac:dyDescent="0.25">
      <c r="A3" s="80" t="s">
        <v>77</v>
      </c>
      <c r="B3" s="81" t="s">
        <v>78</v>
      </c>
      <c r="C3" s="82">
        <f>C5+C8</f>
        <v>27.740000000000002</v>
      </c>
      <c r="D3" s="82">
        <f>D5+D8</f>
        <v>6.15</v>
      </c>
      <c r="E3" s="83">
        <f t="shared" ref="E3" si="0">(F3-C3)+(G3-D3)</f>
        <v>1.3556000000000008</v>
      </c>
      <c r="F3" s="83">
        <f t="shared" ref="F3:G3" si="1">C3*1.04</f>
        <v>28.849600000000002</v>
      </c>
      <c r="G3" s="83">
        <f t="shared" si="1"/>
        <v>6.3960000000000008</v>
      </c>
      <c r="H3" s="83">
        <f t="shared" ref="H3" si="2">F3+G3</f>
        <v>35.245600000000003</v>
      </c>
      <c r="I3" s="83">
        <f t="shared" ref="I3" si="3">((F3/(AP3-AQ3))+(G3/(AT3-AU3)))*1000</f>
        <v>1007.0171428571429</v>
      </c>
      <c r="J3" s="84">
        <f t="shared" ref="J3" si="4">I3/AS3</f>
        <v>1050.7493299705156</v>
      </c>
      <c r="K3" s="85">
        <v>530</v>
      </c>
      <c r="L3" s="83" t="s">
        <v>11</v>
      </c>
      <c r="M3" s="86">
        <v>7</v>
      </c>
      <c r="N3" s="87">
        <v>182</v>
      </c>
      <c r="O3" s="83" t="str">
        <f t="shared" ref="O3" si="5">IF(K3&lt;159,"0,3",IF((K3&gt;159),"0,4","0,3"))</f>
        <v>0,4</v>
      </c>
      <c r="P3" s="83">
        <f t="shared" ref="P3" si="6">N3*(1+O3)</f>
        <v>254.79999999999998</v>
      </c>
      <c r="Q3" s="83">
        <f t="shared" ref="Q3" si="7">(J3/3600)/R3</f>
        <v>1.3957502142483509</v>
      </c>
      <c r="R3" s="83">
        <f t="shared" ref="R3" si="8">(3.14159*AW3^2)/4</f>
        <v>0.20911679675999997</v>
      </c>
      <c r="S3" s="83" t="str">
        <f t="shared" ref="S3" si="9">IF(T3="сталь","0,0005",IF((T3="изола"),"0,000007"))</f>
        <v>0,0005</v>
      </c>
      <c r="T3" s="83" t="s">
        <v>79</v>
      </c>
      <c r="U3" s="83" t="s">
        <v>80</v>
      </c>
      <c r="V3" s="83">
        <f t="shared" ref="V3" si="10">Y3</f>
        <v>958.38</v>
      </c>
      <c r="W3" s="88" t="str">
        <f>LOOKUP(AP3,{5,10,15,20,25,30,40,50,60,70,80,90,100,125,150},{"0,000181656","0,000156444","0,000136428","0,000120228","0,000106908","0,000095784","0,00007848","0,000065724","0,000056088","0,000048576","0,000042648","0,00003786","0,000033948","0,0000264","0,00002196"})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" s="89">
        <f t="shared" ref="X3" si="11">(W3*9.81)/V3</f>
        <v>3.4749251862518006E-7</v>
      </c>
      <c r="Y3" s="83">
        <f t="shared" ref="Y3" si="12">AS3*1000</f>
        <v>958.38</v>
      </c>
      <c r="Z3" s="90">
        <f t="shared" ref="Z3" si="13">(Q3*AW3)/X3</f>
        <v>2072583.0685551954</v>
      </c>
      <c r="AA3" s="90">
        <f t="shared" ref="AA3" si="14">560*AW3/S3</f>
        <v>577920.00000000012</v>
      </c>
      <c r="AB3" s="83">
        <f t="shared" ref="AB3" si="15">0.11*(((S3/AW3)+(68/Z3))^0.25)</f>
        <v>1.9569877619068012E-2</v>
      </c>
      <c r="AC3" s="83">
        <f t="shared" ref="AC3" si="16">1/(1.14+2*LOG(AW3/S3))^2</f>
        <v>1.9466220394734703E-2</v>
      </c>
      <c r="AD3" s="91" t="str">
        <f t="shared" ref="AD3" si="17">IF(Z3&lt;AA3,""&amp;AB3,IF((Z3&gt;AA3),""&amp;AC3))</f>
        <v>0,0194662203947347</v>
      </c>
      <c r="AE3" s="83">
        <f t="shared" ref="AE3" si="18">(Q3*AW3)/X3</f>
        <v>2072583.0685551954</v>
      </c>
      <c r="AF3" s="83">
        <f t="shared" ref="AF3" si="19">LOG10(AE3)</f>
        <v>6.3165119459736596</v>
      </c>
      <c r="AG3" s="83">
        <f t="shared" ref="AG3" si="20">(500*AW3)/S3</f>
        <v>516000</v>
      </c>
      <c r="AH3" s="83">
        <f t="shared" ref="AH3" si="21">LOG10(AG3)</f>
        <v>5.7126497016272113</v>
      </c>
      <c r="AI3" s="83">
        <f t="shared" ref="AI3" si="22">(AF3/AH3)+1</f>
        <v>2.1057061566674466</v>
      </c>
      <c r="AJ3" s="83">
        <f t="shared" ref="AJ3" si="23">IF(AI3&gt;2,2,AI3)</f>
        <v>2</v>
      </c>
      <c r="AK3" s="83">
        <f t="shared" ref="AK3" si="24">LOG10((3.7*AW3)/S3)</f>
        <v>3.5818814213581875</v>
      </c>
      <c r="AL3" s="83">
        <f t="shared" ref="AL3" si="25">AF3-1</f>
        <v>5.3165119459736596</v>
      </c>
      <c r="AM3" s="83">
        <f t="shared" ref="AM3" si="26">(1.312*(2-AJ3)*AK3)/AL3</f>
        <v>0</v>
      </c>
      <c r="AN3" s="83">
        <f t="shared" ref="AN3" si="27">(0.5*((AJ3/2)+AM3))/AK3</f>
        <v>0.13959144404350735</v>
      </c>
      <c r="AO3" s="83">
        <f t="shared" ref="AO3" si="28">AN3*AN3</f>
        <v>1.9485771250151641E-2</v>
      </c>
      <c r="AP3" s="83">
        <v>105</v>
      </c>
      <c r="AQ3" s="83">
        <v>70</v>
      </c>
      <c r="AR3" s="83">
        <f t="shared" ref="AR3" si="29">AP3-AQ3</f>
        <v>35</v>
      </c>
      <c r="AS3" s="83" t="str">
        <f>LOOKUP(AP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" s="88">
        <v>105</v>
      </c>
      <c r="AU3" s="88">
        <v>70</v>
      </c>
      <c r="AV3" s="83">
        <f t="shared" ref="AV3" si="30">AT3-AU3</f>
        <v>35</v>
      </c>
      <c r="AW3" s="83">
        <f t="shared" ref="AW3" si="31">(K3-(M3*2))/1000</f>
        <v>0.51600000000000001</v>
      </c>
      <c r="AX3" s="88" t="str">
        <f t="shared" ref="AX3" si="32">IF(T3="изола",AO3,AD3)</f>
        <v>0,0194662203947347</v>
      </c>
      <c r="AY3" s="83">
        <f t="shared" ref="AY3" si="33">(0.00638*AX3*(I3^2))/((AW3^5)*V3)</f>
        <v>3.59244222372245</v>
      </c>
      <c r="AZ3" s="83">
        <f t="shared" ref="AZ3" si="34">AY3*9.81</f>
        <v>35.24185821471724</v>
      </c>
      <c r="BA3" s="83">
        <f t="shared" ref="BA3" si="35">(AZ3/9.81/Y3)*1000</f>
        <v>3.7484528305290703</v>
      </c>
      <c r="BB3" s="83">
        <f t="shared" ref="BB3" si="36">BA3*P3/1000</f>
        <v>0.95510578121880696</v>
      </c>
      <c r="BC3" s="83">
        <f t="shared" ref="BC3" si="37">I3/BW3</f>
        <v>1029.8699572075791</v>
      </c>
      <c r="BD3" s="83">
        <f t="shared" ref="BD3" si="38">(BC3/3600)/R3</f>
        <v>1.3680153509693442</v>
      </c>
      <c r="BE3" s="83">
        <f t="shared" ref="BE3" si="39">BH3</f>
        <v>977.81</v>
      </c>
      <c r="BF3" s="83" t="str">
        <f>LOOKUP(AQ3,{5,10,15,20,25,30,40,50,60,70,80,90,100,125,150},{"0,000181656","0,000156444","0,000136428","0,000120228","0,000106908","0,000095784","0,00007848","0,000065724","0,000056088","0,000048576","0,000042648","0,00003786","0,000033948","0,0000264","0,00002196"})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" s="92">
        <f t="shared" ref="BG3" si="40">(BF3*9.81)/BE3</f>
        <v>4.8734473977562104E-7</v>
      </c>
      <c r="BH3" s="83">
        <f t="shared" ref="BH3" si="41">BW3*1000</f>
        <v>977.81</v>
      </c>
      <c r="BI3" s="83">
        <f t="shared" ref="BI3" si="42">(BD3*AW3)/BG3</f>
        <v>1448452.939956188</v>
      </c>
      <c r="BJ3" s="83">
        <f t="shared" ref="BJ3" si="43">0.11*(((S3/AW3)+(68/BI3))^0.25)</f>
        <v>1.963855735332324E-2</v>
      </c>
      <c r="BK3" s="91" t="str">
        <f t="shared" ref="BK3" si="44">IF(BI3&lt;AA3,""&amp;BJ3,IF((BI3&gt;AA3),""&amp;AC3))</f>
        <v>0,0194662203947347</v>
      </c>
      <c r="BL3" s="83">
        <f t="shared" ref="BL3" si="45">(BD3*AW3)/BG3</f>
        <v>1448452.939956188</v>
      </c>
      <c r="BM3" s="83">
        <f t="shared" ref="BM3" si="46">LOG10(BL3)</f>
        <v>6.1609043895989073</v>
      </c>
      <c r="BN3" s="83">
        <f t="shared" ref="BN3" si="47">(500*AW3)/S3</f>
        <v>516000</v>
      </c>
      <c r="BO3" s="83">
        <f t="shared" ref="BO3" si="48">LOG10(BN3)</f>
        <v>5.7126497016272113</v>
      </c>
      <c r="BP3" s="83">
        <f t="shared" ref="BP3" si="49">(BM3/BO3)+1</f>
        <v>2.0784670356811854</v>
      </c>
      <c r="BQ3" s="83">
        <f t="shared" ref="BQ3" si="50">IF(BP3&gt;2,2,BP3)</f>
        <v>2</v>
      </c>
      <c r="BR3" s="83">
        <f t="shared" ref="BR3" si="51">LOG10((3.7*AW3)/S3)</f>
        <v>3.5818814213581875</v>
      </c>
      <c r="BS3" s="83">
        <f t="shared" ref="BS3" si="52">BM3-1</f>
        <v>5.1609043895989073</v>
      </c>
      <c r="BT3" s="83">
        <f t="shared" ref="BT3" si="53">(1.312*(2-BQ3)*BR3)/BS3</f>
        <v>0</v>
      </c>
      <c r="BU3" s="83">
        <f t="shared" ref="BU3" si="54">(0.5*((BQ3/2)+BT3))/BR3</f>
        <v>0.13959144404350735</v>
      </c>
      <c r="BV3" s="83">
        <f t="shared" ref="BV3" si="55">BU3*BU3</f>
        <v>1.9485771250151641E-2</v>
      </c>
      <c r="BW3" s="83" t="str">
        <f>LOOKUP(AQ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" s="93" t="str">
        <f t="shared" ref="BX3" si="56">IF(T3="изола",BV3,BK3)</f>
        <v>0,0194662203947347</v>
      </c>
      <c r="BY3" s="83">
        <f t="shared" ref="BY3" si="57">(0.00638*BX3*(I3^2))/((AW3^5)*BE3)</f>
        <v>3.5210570339545741</v>
      </c>
      <c r="BZ3" s="83">
        <f t="shared" ref="BZ3" si="58">BY3*9.81</f>
        <v>34.541569503094372</v>
      </c>
      <c r="CA3" s="83">
        <f t="shared" ref="CA3" si="59">(BZ3/9.81/BH3)*1000</f>
        <v>3.6009623893748013</v>
      </c>
      <c r="CB3" s="83">
        <f t="shared" ref="CB3" si="60">CA3*P3/1000</f>
        <v>0.91752521681269938</v>
      </c>
      <c r="CC3" s="94">
        <f t="shared" ref="CC3" si="61">BB3+CB3</f>
        <v>1.8726309980315063</v>
      </c>
      <c r="CD3" s="95"/>
      <c r="CE3" s="96" t="e">
        <f>#REF!-BB3</f>
        <v>#REF!</v>
      </c>
      <c r="CF3" s="97" t="e">
        <f>#REF!+CB3</f>
        <v>#REF!</v>
      </c>
      <c r="CG3" s="98" t="e">
        <f t="shared" ref="CG3" si="62">CE3-CF3</f>
        <v>#REF!</v>
      </c>
      <c r="CH3" s="99" t="s">
        <v>81</v>
      </c>
      <c r="CI3" s="83" t="e">
        <f t="shared" ref="CI3" si="63">CE3-CR3</f>
        <v>#REF!</v>
      </c>
      <c r="CJ3" s="83" t="s">
        <v>82</v>
      </c>
      <c r="CK3" s="94" t="str">
        <f>LOOKUP((AP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" s="100" t="e">
        <f t="shared" ref="CL3" si="64">CF3-CR3</f>
        <v>#REF!</v>
      </c>
      <c r="CM3" s="82" t="s">
        <v>82</v>
      </c>
      <c r="CN3" s="83" t="str">
        <f>LOOKUP((AQ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" s="86" t="s">
        <v>83</v>
      </c>
      <c r="CP3" s="82">
        <v>22</v>
      </c>
      <c r="CQ3" s="83">
        <v>19.98</v>
      </c>
      <c r="CR3" s="94">
        <f t="shared" ref="CR3" si="65">CQ3-CP3</f>
        <v>-2.0199999999999996</v>
      </c>
      <c r="CS3" s="99"/>
      <c r="CT3" s="83"/>
      <c r="CU3" s="94"/>
      <c r="CV3" s="83"/>
      <c r="CW3" s="82"/>
      <c r="CX3" s="98"/>
      <c r="CY3" s="82">
        <f t="shared" ref="CY3" si="66">N3*R3*2</f>
        <v>76.118514020639992</v>
      </c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</row>
    <row r="4" spans="1:124" s="123" customFormat="1" ht="16.5" customHeight="1" x14ac:dyDescent="0.25">
      <c r="A4" s="103" t="s">
        <v>84</v>
      </c>
      <c r="B4" s="104"/>
      <c r="C4" s="104"/>
      <c r="D4" s="104"/>
      <c r="E4" s="104"/>
      <c r="F4" s="104"/>
      <c r="G4" s="104"/>
      <c r="H4" s="104"/>
      <c r="I4" s="104"/>
      <c r="J4" s="105"/>
      <c r="K4" s="106"/>
      <c r="L4" s="107"/>
      <c r="M4" s="108"/>
      <c r="N4" s="109"/>
      <c r="O4" s="107"/>
      <c r="P4" s="107"/>
      <c r="Q4" s="107"/>
      <c r="R4" s="107"/>
      <c r="S4" s="107"/>
      <c r="T4" s="107"/>
      <c r="U4" s="107"/>
      <c r="V4" s="107"/>
      <c r="W4" s="110"/>
      <c r="X4" s="111"/>
      <c r="Y4" s="107"/>
      <c r="Z4" s="112"/>
      <c r="AA4" s="112"/>
      <c r="AB4" s="107"/>
      <c r="AC4" s="107"/>
      <c r="AD4" s="113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10"/>
      <c r="AT4" s="110"/>
      <c r="AU4" s="110"/>
      <c r="AV4" s="107"/>
      <c r="AW4" s="107"/>
      <c r="AX4" s="110"/>
      <c r="AY4" s="107"/>
      <c r="AZ4" s="107"/>
      <c r="BA4" s="107"/>
      <c r="BB4" s="107"/>
      <c r="BC4" s="107"/>
      <c r="BD4" s="107"/>
      <c r="BE4" s="107"/>
      <c r="BF4" s="107"/>
      <c r="BG4" s="114"/>
      <c r="BH4" s="107"/>
      <c r="BI4" s="107"/>
      <c r="BJ4" s="107"/>
      <c r="BK4" s="113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15"/>
      <c r="BY4" s="107"/>
      <c r="BZ4" s="107"/>
      <c r="CA4" s="107"/>
      <c r="CB4" s="107"/>
      <c r="CC4" s="116"/>
      <c r="CD4" s="117"/>
      <c r="CE4" s="118"/>
      <c r="CF4" s="108"/>
      <c r="CG4" s="119"/>
      <c r="CH4" s="120"/>
      <c r="CI4" s="107"/>
      <c r="CJ4" s="107"/>
      <c r="CK4" s="116"/>
      <c r="CL4" s="121"/>
      <c r="CM4" s="118"/>
      <c r="CN4" s="107"/>
      <c r="CO4" s="108"/>
      <c r="CP4" s="118"/>
      <c r="CQ4" s="107"/>
      <c r="CR4" s="116"/>
      <c r="CS4" s="120"/>
      <c r="CT4" s="107"/>
      <c r="CU4" s="116"/>
      <c r="CV4" s="107"/>
      <c r="CW4" s="118"/>
      <c r="CX4" s="119"/>
      <c r="CY4" s="118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</row>
    <row r="5" spans="1:124" s="101" customFormat="1" ht="16.5" customHeight="1" x14ac:dyDescent="0.25">
      <c r="A5" s="80" t="s">
        <v>78</v>
      </c>
      <c r="B5" s="81" t="s">
        <v>85</v>
      </c>
      <c r="C5" s="82">
        <f>C6+C9</f>
        <v>26.41</v>
      </c>
      <c r="D5" s="82">
        <f>D6+D9</f>
        <v>5.86</v>
      </c>
      <c r="E5" s="83">
        <f>(F5-C5)+(G5-D5)</f>
        <v>1.2907999999999999</v>
      </c>
      <c r="F5" s="83">
        <f t="shared" ref="F5:G11" si="67">C5*1.04</f>
        <v>27.4664</v>
      </c>
      <c r="G5" s="83">
        <f t="shared" si="67"/>
        <v>6.0944000000000003</v>
      </c>
      <c r="H5" s="83">
        <f>F5+G5</f>
        <v>33.5608</v>
      </c>
      <c r="I5" s="83">
        <f>((F5/(AP5-AQ5))+(G5/(AT5-AU5)))*1000</f>
        <v>958.88000000000011</v>
      </c>
      <c r="J5" s="84">
        <f>I5/AS5</f>
        <v>1000.5217137252448</v>
      </c>
      <c r="K5" s="85">
        <v>530</v>
      </c>
      <c r="L5" s="83" t="s">
        <v>11</v>
      </c>
      <c r="M5" s="86">
        <v>7</v>
      </c>
      <c r="N5" s="87">
        <v>113</v>
      </c>
      <c r="O5" s="83" t="str">
        <f>IF(K5&lt;159,"0,3",IF((K5&gt;159),"0,4","0,3"))</f>
        <v>0,4</v>
      </c>
      <c r="P5" s="83">
        <f>N5*(1+O5)</f>
        <v>158.19999999999999</v>
      </c>
      <c r="Q5" s="83">
        <f>(J5/3600)/R5</f>
        <v>1.3290309652934285</v>
      </c>
      <c r="R5" s="83">
        <f>(3.14159*AW5^2)/4</f>
        <v>0.20911679675999997</v>
      </c>
      <c r="S5" s="83" t="str">
        <f>IF(T5="сталь","0,0005",IF((T5="изола"),"0,000007"))</f>
        <v>0,0005</v>
      </c>
      <c r="T5" s="83" t="s">
        <v>79</v>
      </c>
      <c r="U5" s="83" t="s">
        <v>80</v>
      </c>
      <c r="V5" s="83">
        <f>Y5</f>
        <v>958.38</v>
      </c>
      <c r="W5" s="88" t="str">
        <f>LOOKUP(AP5,{5,10,15,20,25,30,40,50,60,70,80,90,100,125,150},{"0,000181656","0,000156444","0,000136428","0,000120228","0,000106908","0,000095784","0,00007848","0,000065724","0,000056088","0,000048576","0,000042648","0,00003786","0,000033948","0,0000264","0,00002196"})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5" s="89">
        <f>(W5*9.81)/V5</f>
        <v>3.4749251862518006E-7</v>
      </c>
      <c r="Y5" s="83">
        <f>AS5*1000</f>
        <v>958.38</v>
      </c>
      <c r="Z5" s="90">
        <f>(Q5*AW5)/X5</f>
        <v>1973510.0508195977</v>
      </c>
      <c r="AA5" s="90">
        <f>560*AW5/S5</f>
        <v>577920.00000000012</v>
      </c>
      <c r="AB5" s="83">
        <f>0.11*(((S5/AW5)+(68/Z5))^0.25)</f>
        <v>1.9577916430642706E-2</v>
      </c>
      <c r="AC5" s="83">
        <f>1/(1.14+2*LOG(AW5/S5))^2</f>
        <v>1.9466220394734703E-2</v>
      </c>
      <c r="AD5" s="91" t="str">
        <f>IF(Z5&lt;AA5,""&amp;AB5,IF((Z5&gt;AA5),""&amp;AC5))</f>
        <v>0,0194662203947347</v>
      </c>
      <c r="AE5" s="83">
        <f>(Q5*AW5)/X5</f>
        <v>1973510.0508195977</v>
      </c>
      <c r="AF5" s="83">
        <f>LOG10(AE5)</f>
        <v>6.295239342540186</v>
      </c>
      <c r="AG5" s="83">
        <f>(500*AW5)/S5</f>
        <v>516000</v>
      </c>
      <c r="AH5" s="83">
        <f>LOG10(AG5)</f>
        <v>5.7126497016272113</v>
      </c>
      <c r="AI5" s="83">
        <f>(AF5/AH5)+1</f>
        <v>2.1019823849424948</v>
      </c>
      <c r="AJ5" s="83">
        <f>IF(AI5&gt;2,2,AI5)</f>
        <v>2</v>
      </c>
      <c r="AK5" s="83">
        <f>LOG10((3.7*AW5)/S5)</f>
        <v>3.5818814213581875</v>
      </c>
      <c r="AL5" s="83">
        <f>AF5-1</f>
        <v>5.295239342540186</v>
      </c>
      <c r="AM5" s="83">
        <f>(1.312*(2-AJ5)*AK5)/AL5</f>
        <v>0</v>
      </c>
      <c r="AN5" s="83">
        <f>(0.5*((AJ5/2)+AM5))/AK5</f>
        <v>0.13959144404350735</v>
      </c>
      <c r="AO5" s="83">
        <f>AN5*AN5</f>
        <v>1.9485771250151641E-2</v>
      </c>
      <c r="AP5" s="83">
        <v>105</v>
      </c>
      <c r="AQ5" s="83">
        <v>70</v>
      </c>
      <c r="AR5" s="83">
        <f>AP5-AQ5</f>
        <v>35</v>
      </c>
      <c r="AS5" s="83" t="str">
        <f>LOOKUP(AP5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5" s="88">
        <v>105</v>
      </c>
      <c r="AU5" s="88">
        <v>70</v>
      </c>
      <c r="AV5" s="83">
        <f>AT5-AU5</f>
        <v>35</v>
      </c>
      <c r="AW5" s="83">
        <f>(K5-(M5*2))/1000</f>
        <v>0.51600000000000001</v>
      </c>
      <c r="AX5" s="88" t="str">
        <f>IF(T5="изола",AO5,AD5)</f>
        <v>0,0194662203947347</v>
      </c>
      <c r="AY5" s="83">
        <f>(0.00638*AX5*(I5^2))/((AW5^5)*V5)</f>
        <v>3.2572011942511869</v>
      </c>
      <c r="AZ5" s="83">
        <f>AY5*9.81</f>
        <v>31.953143715604146</v>
      </c>
      <c r="BA5" s="83">
        <f>(AZ5/9.81/Y5)*1000</f>
        <v>3.3986531378484388</v>
      </c>
      <c r="BB5" s="83">
        <f>BA5*P5/1000</f>
        <v>0.53766692640762304</v>
      </c>
      <c r="BC5" s="83">
        <f>I5/BW5</f>
        <v>980.64041071373799</v>
      </c>
      <c r="BD5" s="83">
        <f>(BC5/3600)/R5</f>
        <v>1.3026218759451385</v>
      </c>
      <c r="BE5" s="83">
        <f>BH5</f>
        <v>977.81</v>
      </c>
      <c r="BF5" s="83" t="str">
        <f>LOOKUP(AQ5,{5,10,15,20,25,30,40,50,60,70,80,90,100,125,150},{"0,000181656","0,000156444","0,000136428","0,000120228","0,000106908","0,000095784","0,00007848","0,000065724","0,000056088","0,000048576","0,000042648","0,00003786","0,000033948","0,0000264","0,00002196"})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5" s="92">
        <f>(BF5*9.81)/BE5</f>
        <v>4.8734473977562104E-7</v>
      </c>
      <c r="BH5" s="83">
        <f>BW5*1000</f>
        <v>977.81</v>
      </c>
      <c r="BI5" s="83">
        <f>(BD5*AW5)/BG5</f>
        <v>1379214.4105159689</v>
      </c>
      <c r="BJ5" s="83">
        <f>0.11*(((S5/AW5)+(68/BI5))^0.25)</f>
        <v>1.964993690410153E-2</v>
      </c>
      <c r="BK5" s="91" t="str">
        <f>IF(BI5&lt;AA5,""&amp;BJ5,IF((BI5&gt;AA5),""&amp;AC5))</f>
        <v>0,0194662203947347</v>
      </c>
      <c r="BL5" s="83">
        <f>(BD5*AW5)/BG5</f>
        <v>1379214.4105159689</v>
      </c>
      <c r="BM5" s="83">
        <f>LOG10(BL5)</f>
        <v>6.1396317861654346</v>
      </c>
      <c r="BN5" s="83">
        <f>(500*AW5)/S5</f>
        <v>516000</v>
      </c>
      <c r="BO5" s="83">
        <f>LOG10(BN5)</f>
        <v>5.7126497016272113</v>
      </c>
      <c r="BP5" s="83">
        <f>(BM5/BO5)+1</f>
        <v>2.0747432639562335</v>
      </c>
      <c r="BQ5" s="83">
        <f>IF(BP5&gt;2,2,BP5)</f>
        <v>2</v>
      </c>
      <c r="BR5" s="83">
        <f>LOG10((3.7*AW5)/S5)</f>
        <v>3.5818814213581875</v>
      </c>
      <c r="BS5" s="83">
        <f>BM5-1</f>
        <v>5.1396317861654346</v>
      </c>
      <c r="BT5" s="83">
        <f>(1.312*(2-BQ5)*BR5)/BS5</f>
        <v>0</v>
      </c>
      <c r="BU5" s="83">
        <f>(0.5*((BQ5/2)+BT5))/BR5</f>
        <v>0.13959144404350735</v>
      </c>
      <c r="BV5" s="83">
        <f>BU5*BU5</f>
        <v>1.9485771250151641E-2</v>
      </c>
      <c r="BW5" s="83" t="str">
        <f>LOOKUP(AQ5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5" s="93" t="str">
        <f>IF(T5="изола",BV5,BK5)</f>
        <v>0,0194662203947347</v>
      </c>
      <c r="BY5" s="83">
        <f>(0.00638*BX5*(I5^2))/((AW5^5)*BE5)</f>
        <v>3.192477557548453</v>
      </c>
      <c r="BZ5" s="83">
        <f>BY5*9.81</f>
        <v>31.318204839550326</v>
      </c>
      <c r="CA5" s="83">
        <f>(BZ5/9.81/BH5)*1000</f>
        <v>3.264926271513334</v>
      </c>
      <c r="CB5" s="83">
        <f>CA5*P5/1000</f>
        <v>0.51651133615340938</v>
      </c>
      <c r="CC5" s="94">
        <f>BB5+CB5</f>
        <v>1.0541782625610323</v>
      </c>
      <c r="CD5" s="95"/>
      <c r="CE5" s="82" t="e">
        <f>#REF!-BB5</f>
        <v>#REF!</v>
      </c>
      <c r="CF5" s="86" t="e">
        <f>#REF!+CB5</f>
        <v>#REF!</v>
      </c>
      <c r="CG5" s="98" t="e">
        <f>CE5-CF5</f>
        <v>#REF!</v>
      </c>
      <c r="CH5" s="99" t="s">
        <v>86</v>
      </c>
      <c r="CI5" s="83" t="e">
        <f>CE5-CR5</f>
        <v>#REF!</v>
      </c>
      <c r="CJ5" s="83" t="s">
        <v>82</v>
      </c>
      <c r="CK5" s="94" t="str">
        <f>LOOKUP((AP5)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5" s="100" t="e">
        <f>CF5-CR5</f>
        <v>#REF!</v>
      </c>
      <c r="CM5" s="82" t="s">
        <v>82</v>
      </c>
      <c r="CN5" s="83" t="str">
        <f>LOOKUP((AQ5)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5" s="86" t="s">
        <v>83</v>
      </c>
      <c r="CP5" s="82">
        <v>22</v>
      </c>
      <c r="CQ5" s="83">
        <v>22.6</v>
      </c>
      <c r="CR5" s="94">
        <f>CQ5-CP5</f>
        <v>0.60000000000000142</v>
      </c>
      <c r="CS5" s="99"/>
      <c r="CT5" s="83"/>
      <c r="CU5" s="94"/>
      <c r="CV5" s="83"/>
      <c r="CW5" s="82"/>
      <c r="CX5" s="98"/>
      <c r="CY5" s="82">
        <f>N5*R5*2</f>
        <v>47.260396067759991</v>
      </c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</row>
    <row r="6" spans="1:124" s="101" customFormat="1" ht="16.5" customHeight="1" x14ac:dyDescent="0.25">
      <c r="A6" s="80" t="s">
        <v>85</v>
      </c>
      <c r="B6" s="81" t="s">
        <v>87</v>
      </c>
      <c r="C6" s="82">
        <f>C7+C10</f>
        <v>25.07</v>
      </c>
      <c r="D6" s="82">
        <f>D7+D10</f>
        <v>5.57</v>
      </c>
      <c r="E6" s="82">
        <f t="shared" ref="E6:G6" si="68">E7+E10</f>
        <v>1.2255999999999998</v>
      </c>
      <c r="F6" s="82">
        <f t="shared" si="68"/>
        <v>26.072800000000001</v>
      </c>
      <c r="G6" s="82">
        <f t="shared" si="68"/>
        <v>5.7928000000000006</v>
      </c>
      <c r="H6" s="83">
        <f>F6+G6</f>
        <v>31.865600000000001</v>
      </c>
      <c r="I6" s="83">
        <f>((F6/(AP6-AQ6))+(G6/(AT6-AU6)))*1000</f>
        <v>910.4457142857143</v>
      </c>
      <c r="J6" s="84">
        <f>I6/AS6</f>
        <v>949.98405046611401</v>
      </c>
      <c r="K6" s="85">
        <v>426</v>
      </c>
      <c r="L6" s="83" t="s">
        <v>11</v>
      </c>
      <c r="M6" s="86">
        <v>7</v>
      </c>
      <c r="N6" s="87">
        <v>76</v>
      </c>
      <c r="O6" s="83" t="str">
        <f>IF(K6&lt;159,"0,3",IF((K6&gt;159),"0,4","0,3"))</f>
        <v>0,4</v>
      </c>
      <c r="P6" s="83">
        <f>N6*(1+O6)</f>
        <v>106.39999999999999</v>
      </c>
      <c r="Q6" s="83">
        <f>(J6/3600)/R6</f>
        <v>1.979383139039629</v>
      </c>
      <c r="R6" s="83">
        <f>(3.14159*AW6^2)/4</f>
        <v>0.13331651323999999</v>
      </c>
      <c r="S6" s="83" t="str">
        <f>IF(T6="сталь","0,0005",IF((T6="изола"),"0,000007"))</f>
        <v>0,0005</v>
      </c>
      <c r="T6" s="83" t="s">
        <v>79</v>
      </c>
      <c r="U6" s="83" t="s">
        <v>80</v>
      </c>
      <c r="V6" s="83">
        <f>Y6</f>
        <v>958.38</v>
      </c>
      <c r="W6" s="88" t="str">
        <f>LOOKUP(AP6,{5,10,15,20,25,30,40,50,60,70,80,90,100,125,150},{"0,000181656","0,000156444","0,000136428","0,000120228","0,000106908","0,000095784","0,00007848","0,000065724","0,000056088","0,000048576","0,000042648","0,00003786","0,000033948","0,0000264","0,00002196"})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6" s="89">
        <f>(W6*9.81)/V6</f>
        <v>3.4749251862518006E-7</v>
      </c>
      <c r="Y6" s="83">
        <f>AS6*1000</f>
        <v>958.38</v>
      </c>
      <c r="Z6" s="90">
        <f>(Q6*AW6)/X6</f>
        <v>2346829.9591334965</v>
      </c>
      <c r="AA6" s="90">
        <f>560*AW6/S6</f>
        <v>461440</v>
      </c>
      <c r="AB6" s="83">
        <f>0.11*(((S6/AW6)+(68/Z6))^0.25)</f>
        <v>2.0652502423500061E-2</v>
      </c>
      <c r="AC6" s="83">
        <f>1/(1.14+2*LOG(AW6/S6))^2</f>
        <v>2.0573272552247869E-2</v>
      </c>
      <c r="AD6" s="91" t="str">
        <f>IF(Z6&lt;AA6,""&amp;AB6,IF((Z6&gt;AA6),""&amp;AC6))</f>
        <v>0,0205732725522479</v>
      </c>
      <c r="AE6" s="83">
        <f>(Q6*AW6)/X6</f>
        <v>2346829.9591334965</v>
      </c>
      <c r="AF6" s="83">
        <f>LOG10(AE6)</f>
        <v>6.3704816236909245</v>
      </c>
      <c r="AG6" s="83">
        <f>(500*AW6)/S6</f>
        <v>412000</v>
      </c>
      <c r="AH6" s="83">
        <f>LOG10(AG6)</f>
        <v>5.6148972160331345</v>
      </c>
      <c r="AI6" s="83">
        <f>(AF6/AH6)+1</f>
        <v>2.1345678074925836</v>
      </c>
      <c r="AJ6" s="83">
        <f>IF(AI6&gt;2,2,AI6)</f>
        <v>2</v>
      </c>
      <c r="AK6" s="83">
        <f>LOG10((3.7*AW6)/S6)</f>
        <v>3.4841289357641108</v>
      </c>
      <c r="AL6" s="83">
        <f>AF6-1</f>
        <v>5.3704816236909245</v>
      </c>
      <c r="AM6" s="83">
        <f>(1.312*(2-AJ6)*AK6)/AL6</f>
        <v>0</v>
      </c>
      <c r="AN6" s="83">
        <f>(0.5*((AJ6/2)+AM6))/AK6</f>
        <v>0.1435078922790623</v>
      </c>
      <c r="AO6" s="83">
        <f>AN6*AN6</f>
        <v>2.0594515146378948E-2</v>
      </c>
      <c r="AP6" s="83">
        <v>105</v>
      </c>
      <c r="AQ6" s="83">
        <v>70</v>
      </c>
      <c r="AR6" s="83">
        <f>AP6-AQ6</f>
        <v>35</v>
      </c>
      <c r="AS6" s="83" t="str">
        <f>LOOKUP(AP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6" s="88">
        <v>105</v>
      </c>
      <c r="AU6" s="88">
        <v>70</v>
      </c>
      <c r="AV6" s="83">
        <f>AT6-AU6</f>
        <v>35</v>
      </c>
      <c r="AW6" s="83">
        <f>(K6-(M6*2))/1000</f>
        <v>0.41199999999999998</v>
      </c>
      <c r="AX6" s="88" t="str">
        <f>IF(T6="изола",AO6,AD6)</f>
        <v>0,0205732725522479</v>
      </c>
      <c r="AY6" s="83">
        <f>(0.00638*AX6*(I6^2))/((AW6^5)*V6)</f>
        <v>9.5633125110828434</v>
      </c>
      <c r="AZ6" s="83">
        <f>AY6*9.81</f>
        <v>93.816095733722705</v>
      </c>
      <c r="BA6" s="83">
        <f>(AZ6/9.81/Y6)*1000</f>
        <v>9.9786227916722421</v>
      </c>
      <c r="BB6" s="83">
        <f>BA6*P6/1000</f>
        <v>1.0617254650339265</v>
      </c>
      <c r="BC6" s="83">
        <f>I6/BW6</f>
        <v>931.1069781304285</v>
      </c>
      <c r="BD6" s="83">
        <f>(BC6/3600)/R6</f>
        <v>1.9400509432229163</v>
      </c>
      <c r="BE6" s="83">
        <f>BH6</f>
        <v>977.81</v>
      </c>
      <c r="BF6" s="83" t="str">
        <f>LOOKUP(AQ6,{5,10,15,20,25,30,40,50,60,70,80,90,100,125,150},{"0,000181656","0,000156444","0,000136428","0,000120228","0,000106908","0,000095784","0,00007848","0,000065724","0,000056088","0,000048576","0,000042648","0,00003786","0,000033948","0,0000264","0,00002196"})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6" s="92">
        <f>(BF6*9.81)/BE6</f>
        <v>4.8734473977562104E-7</v>
      </c>
      <c r="BH6" s="83">
        <f>BW6*1000</f>
        <v>977.81</v>
      </c>
      <c r="BI6" s="83">
        <f>(BD6*AW6)/BG6</f>
        <v>1640114.11916716</v>
      </c>
      <c r="BJ6" s="83">
        <f>0.11*(((S6/AW6)+(68/BI6))^0.25)</f>
        <v>2.0704186981468021E-2</v>
      </c>
      <c r="BK6" s="91" t="str">
        <f>IF(BI6&lt;AA6,""&amp;BJ6,IF((BI6&gt;AA6),""&amp;AC6))</f>
        <v>0,0205732725522479</v>
      </c>
      <c r="BL6" s="83">
        <f>(BD6*AW6)/BG6</f>
        <v>1640114.11916716</v>
      </c>
      <c r="BM6" s="83">
        <f>LOG10(BL6)</f>
        <v>6.2148740673161722</v>
      </c>
      <c r="BN6" s="83">
        <f>(500*AW6)/S6</f>
        <v>412000</v>
      </c>
      <c r="BO6" s="83">
        <f>LOG10(BN6)</f>
        <v>5.6148972160331345</v>
      </c>
      <c r="BP6" s="83">
        <f>(BM6/BO6)+1</f>
        <v>2.1068544673569134</v>
      </c>
      <c r="BQ6" s="83">
        <f>IF(BP6&gt;2,2,BP6)</f>
        <v>2</v>
      </c>
      <c r="BR6" s="83">
        <f>LOG10((3.7*AW6)/S6)</f>
        <v>3.4841289357641108</v>
      </c>
      <c r="BS6" s="83">
        <f>BM6-1</f>
        <v>5.2148740673161722</v>
      </c>
      <c r="BT6" s="83">
        <f>(1.312*(2-BQ6)*BR6)/BS6</f>
        <v>0</v>
      </c>
      <c r="BU6" s="83">
        <f>(0.5*((BQ6/2)+BT6))/BR6</f>
        <v>0.1435078922790623</v>
      </c>
      <c r="BV6" s="83">
        <f>BU6*BU6</f>
        <v>2.0594515146378948E-2</v>
      </c>
      <c r="BW6" s="83" t="str">
        <f>LOOKUP(AQ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6" s="93" t="str">
        <f>IF(T6="изола",BV6,BK6)</f>
        <v>0,0205732725522479</v>
      </c>
      <c r="BY6" s="83">
        <f>(0.00638*BX6*(I6^2))/((AW6^5)*BE6)</f>
        <v>9.3732805395440586</v>
      </c>
      <c r="BZ6" s="83">
        <f>BY6*9.81</f>
        <v>91.951882092927221</v>
      </c>
      <c r="CA6" s="83">
        <f>(BZ6/9.81/BH6)*1000</f>
        <v>9.5859937406490623</v>
      </c>
      <c r="CB6" s="83">
        <f>CA6*P6/1000</f>
        <v>1.0199497340050601</v>
      </c>
      <c r="CC6" s="94">
        <f>BB6+CB6</f>
        <v>2.0816751990389868</v>
      </c>
      <c r="CD6" s="95"/>
      <c r="CE6" s="82" t="e">
        <f>#REF!-BB6</f>
        <v>#REF!</v>
      </c>
      <c r="CF6" s="86" t="e">
        <f>#REF!+CB6</f>
        <v>#REF!</v>
      </c>
      <c r="CG6" s="98" t="e">
        <f>CE6-CF6</f>
        <v>#REF!</v>
      </c>
      <c r="CH6" s="99" t="s">
        <v>86</v>
      </c>
      <c r="CI6" s="83" t="e">
        <f>CE6-CR6</f>
        <v>#REF!</v>
      </c>
      <c r="CJ6" s="83" t="s">
        <v>82</v>
      </c>
      <c r="CK6" s="94" t="str">
        <f>LOOKUP((AP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6" s="100" t="e">
        <f>CF6-CR6</f>
        <v>#REF!</v>
      </c>
      <c r="CM6" s="82" t="s">
        <v>82</v>
      </c>
      <c r="CN6" s="83" t="str">
        <f>LOOKUP((AQ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6" s="86" t="s">
        <v>83</v>
      </c>
      <c r="CP6" s="82">
        <v>22</v>
      </c>
      <c r="CQ6" s="83">
        <v>22.6</v>
      </c>
      <c r="CR6" s="94">
        <f>CQ6-CP6</f>
        <v>0.60000000000000142</v>
      </c>
      <c r="CS6" s="99"/>
      <c r="CT6" s="83"/>
      <c r="CU6" s="94"/>
      <c r="CV6" s="83"/>
      <c r="CW6" s="82"/>
      <c r="CX6" s="98"/>
      <c r="CY6" s="82">
        <f>N6*R6*2</f>
        <v>20.26411001248</v>
      </c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</row>
    <row r="7" spans="1:124" s="101" customFormat="1" ht="16.5" customHeight="1" x14ac:dyDescent="0.25">
      <c r="A7" s="80" t="s">
        <v>87</v>
      </c>
      <c r="B7" s="81" t="s">
        <v>88</v>
      </c>
      <c r="C7" s="82">
        <f>C13+C11</f>
        <v>24.78</v>
      </c>
      <c r="D7" s="82">
        <f>D13+D11</f>
        <v>5.5200000000000005</v>
      </c>
      <c r="E7" s="83">
        <f>(F7-C7)+(G7-D7)</f>
        <v>1.2119999999999997</v>
      </c>
      <c r="F7" s="83">
        <f t="shared" si="67"/>
        <v>25.7712</v>
      </c>
      <c r="G7" s="83">
        <f t="shared" si="67"/>
        <v>5.740800000000001</v>
      </c>
      <c r="H7" s="83">
        <f>F7+G7</f>
        <v>31.512</v>
      </c>
      <c r="I7" s="83">
        <f>((F7/(AP7-AQ7))+(G7/(AT7-AU7)))*1000</f>
        <v>900.34285714285716</v>
      </c>
      <c r="J7" s="84">
        <f>I7/AS7</f>
        <v>939.44245199488421</v>
      </c>
      <c r="K7" s="85">
        <v>426</v>
      </c>
      <c r="L7" s="83" t="s">
        <v>11</v>
      </c>
      <c r="M7" s="86">
        <v>7</v>
      </c>
      <c r="N7" s="87">
        <v>108</v>
      </c>
      <c r="O7" s="83" t="str">
        <f>IF(K7&lt;159,"0,3",IF((K7&gt;159),"0,4","0,3"))</f>
        <v>0,4</v>
      </c>
      <c r="P7" s="83">
        <f>N7*(1+O7)</f>
        <v>151.19999999999999</v>
      </c>
      <c r="Q7" s="83">
        <f>(J7/3600)/R7</f>
        <v>1.9574187047291367</v>
      </c>
      <c r="R7" s="83">
        <f>(3.14159*AW7^2)/4</f>
        <v>0.13331651323999999</v>
      </c>
      <c r="S7" s="83" t="str">
        <f>IF(T7="сталь","0,0005",IF((T7="изола"),"0,000007"))</f>
        <v>0,0005</v>
      </c>
      <c r="T7" s="83" t="s">
        <v>79</v>
      </c>
      <c r="U7" s="83" t="s">
        <v>80</v>
      </c>
      <c r="V7" s="83">
        <f>Y7</f>
        <v>958.38</v>
      </c>
      <c r="W7" s="88" t="str">
        <f>LOOKUP(AP7,{5,10,15,20,25,30,40,50,60,70,80,90,100,125,150},{"0,000181656","0,000156444","0,000136428","0,000120228","0,000106908","0,000095784","0,00007848","0,000065724","0,000056088","0,000048576","0,000042648","0,00003786","0,000033948","0,0000264","0,00002196"})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7" s="89">
        <f>(W7*9.81)/V7</f>
        <v>3.4749251862518006E-7</v>
      </c>
      <c r="Y7" s="83">
        <f>AS7*1000</f>
        <v>958.38</v>
      </c>
      <c r="Z7" s="90">
        <f>(Q7*AW7)/X7</f>
        <v>2320788.1123284898</v>
      </c>
      <c r="AA7" s="90">
        <f>560*AW7/S7</f>
        <v>461440</v>
      </c>
      <c r="AB7" s="83">
        <f>0.11*(((S7/AW7)+(68/Z7))^0.25)</f>
        <v>2.0653853293855245E-2</v>
      </c>
      <c r="AC7" s="83">
        <f>1/(1.14+2*LOG(AW7/S7))^2</f>
        <v>2.0573272552247869E-2</v>
      </c>
      <c r="AD7" s="91" t="str">
        <f>IF(Z7&lt;AA7,""&amp;AB7,IF((Z7&gt;AA7),""&amp;AC7))</f>
        <v>0,0205732725522479</v>
      </c>
      <c r="AE7" s="83">
        <f>(Q7*AW7)/X7</f>
        <v>2320788.1123284898</v>
      </c>
      <c r="AF7" s="83">
        <f>LOG10(AE7)</f>
        <v>6.3656354912326627</v>
      </c>
      <c r="AG7" s="83">
        <f>(500*AW7)/S7</f>
        <v>412000</v>
      </c>
      <c r="AH7" s="83">
        <f>LOG10(AG7)</f>
        <v>5.6148972160331345</v>
      </c>
      <c r="AI7" s="83">
        <f>(AF7/AH7)+1</f>
        <v>2.1337047226894592</v>
      </c>
      <c r="AJ7" s="83">
        <f>IF(AI7&gt;2,2,AI7)</f>
        <v>2</v>
      </c>
      <c r="AK7" s="83">
        <f>LOG10((3.7*AW7)/S7)</f>
        <v>3.4841289357641108</v>
      </c>
      <c r="AL7" s="83">
        <f>AF7-1</f>
        <v>5.3656354912326627</v>
      </c>
      <c r="AM7" s="83">
        <f>(1.312*(2-AJ7)*AK7)/AL7</f>
        <v>0</v>
      </c>
      <c r="AN7" s="83">
        <f>(0.5*((AJ7/2)+AM7))/AK7</f>
        <v>0.1435078922790623</v>
      </c>
      <c r="AO7" s="83">
        <f>AN7*AN7</f>
        <v>2.0594515146378948E-2</v>
      </c>
      <c r="AP7" s="83">
        <v>105</v>
      </c>
      <c r="AQ7" s="83">
        <v>70</v>
      </c>
      <c r="AR7" s="83">
        <f>AP7-AQ7</f>
        <v>35</v>
      </c>
      <c r="AS7" s="83" t="str">
        <f>LOOKUP(AP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7" s="88">
        <v>105</v>
      </c>
      <c r="AU7" s="88">
        <v>70</v>
      </c>
      <c r="AV7" s="83">
        <f>AT7-AU7</f>
        <v>35</v>
      </c>
      <c r="AW7" s="83">
        <f>(K7-(M7*2))/1000</f>
        <v>0.41199999999999998</v>
      </c>
      <c r="AX7" s="88" t="str">
        <f>IF(T7="изола",AO7,AD7)</f>
        <v>0,0205732725522479</v>
      </c>
      <c r="AY7" s="83">
        <f>(0.00638*AX7*(I7^2))/((AW7^5)*V7)</f>
        <v>9.3522494692215012</v>
      </c>
      <c r="AZ7" s="83">
        <f>AY7*9.81</f>
        <v>91.745567293062933</v>
      </c>
      <c r="BA7" s="83">
        <f>(AZ7/9.81/Y7)*1000</f>
        <v>9.7583938200103315</v>
      </c>
      <c r="BB7" s="83">
        <f>BA7*P7/1000</f>
        <v>1.475469145585562</v>
      </c>
      <c r="BC7" s="83">
        <f>I7/BW7</f>
        <v>920.77485108851124</v>
      </c>
      <c r="BD7" s="83">
        <f>(BC7/3600)/R7</f>
        <v>1.9185229627824529</v>
      </c>
      <c r="BE7" s="83">
        <f>BH7</f>
        <v>977.81</v>
      </c>
      <c r="BF7" s="83" t="str">
        <f>LOOKUP(AQ7,{5,10,15,20,25,30,40,50,60,70,80,90,100,125,150},{"0,000181656","0,000156444","0,000136428","0,000120228","0,000106908","0,000095784","0,00007848","0,000065724","0,000056088","0,000048576","0,000042648","0,00003786","0,000033948","0,0000264","0,00002196"})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7" s="92">
        <f>(BF7*9.81)/BE7</f>
        <v>4.8734473977562104E-7</v>
      </c>
      <c r="BH7" s="83">
        <f>BW7*1000</f>
        <v>977.81</v>
      </c>
      <c r="BI7" s="83">
        <f>(BD7*AW7)/BG7</f>
        <v>1621914.4194113885</v>
      </c>
      <c r="BJ7" s="83">
        <f>0.11*(((S7/AW7)+(68/BI7))^0.25)</f>
        <v>2.070610541597771E-2</v>
      </c>
      <c r="BK7" s="91" t="str">
        <f>IF(BI7&lt;AA7,""&amp;BJ7,IF((BI7&gt;AA7),""&amp;AC7))</f>
        <v>0,0205732725522479</v>
      </c>
      <c r="BL7" s="83">
        <f>(BD7*AW7)/BG7</f>
        <v>1621914.4194113885</v>
      </c>
      <c r="BM7" s="83">
        <f>LOG10(BL7)</f>
        <v>6.2100279348579113</v>
      </c>
      <c r="BN7" s="83">
        <f>(500*AW7)/S7</f>
        <v>412000</v>
      </c>
      <c r="BO7" s="83">
        <f>LOG10(BN7)</f>
        <v>5.6148972160331345</v>
      </c>
      <c r="BP7" s="83">
        <f>(BM7/BO7)+1</f>
        <v>2.1059913825537899</v>
      </c>
      <c r="BQ7" s="83">
        <f>IF(BP7&gt;2,2,BP7)</f>
        <v>2</v>
      </c>
      <c r="BR7" s="83">
        <f>LOG10((3.7*AW7)/S7)</f>
        <v>3.4841289357641108</v>
      </c>
      <c r="BS7" s="83">
        <f>BM7-1</f>
        <v>5.2100279348579113</v>
      </c>
      <c r="BT7" s="83">
        <f>(1.312*(2-BQ7)*BR7)/BS7</f>
        <v>0</v>
      </c>
      <c r="BU7" s="83">
        <f>(0.5*((BQ7/2)+BT7))/BR7</f>
        <v>0.1435078922790623</v>
      </c>
      <c r="BV7" s="83">
        <f>BU7*BU7</f>
        <v>2.0594515146378948E-2</v>
      </c>
      <c r="BW7" s="83" t="str">
        <f>LOOKUP(AQ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7" s="93" t="str">
        <f>IF(T7="изола",BV7,BK7)</f>
        <v>0,0205732725522479</v>
      </c>
      <c r="BY7" s="83">
        <f>(0.00638*BX7*(I7^2))/((AW7^5)*BE7)</f>
        <v>9.1664115178945824</v>
      </c>
      <c r="BZ7" s="83">
        <f>BY7*9.81</f>
        <v>89.922496990545852</v>
      </c>
      <c r="CA7" s="83">
        <f>(BZ7/9.81/BH7)*1000</f>
        <v>9.3744301223086115</v>
      </c>
      <c r="CB7" s="83">
        <f>CA7*P7/1000</f>
        <v>1.417413834493062</v>
      </c>
      <c r="CC7" s="94">
        <f>BB7+CB7</f>
        <v>2.8928829800786238</v>
      </c>
      <c r="CD7" s="95"/>
      <c r="CE7" s="82" t="e">
        <f>#REF!-BB7</f>
        <v>#REF!</v>
      </c>
      <c r="CF7" s="86" t="e">
        <f>#REF!+CB7</f>
        <v>#REF!</v>
      </c>
      <c r="CG7" s="98" t="e">
        <f>CE7-CF7</f>
        <v>#REF!</v>
      </c>
      <c r="CH7" s="99" t="s">
        <v>86</v>
      </c>
      <c r="CI7" s="83" t="e">
        <f>CE7-CR7</f>
        <v>#REF!</v>
      </c>
      <c r="CJ7" s="83" t="s">
        <v>82</v>
      </c>
      <c r="CK7" s="94" t="str">
        <f>LOOKUP((AP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7" s="100" t="e">
        <f>CF7-CR7</f>
        <v>#REF!</v>
      </c>
      <c r="CM7" s="82" t="s">
        <v>82</v>
      </c>
      <c r="CN7" s="83" t="str">
        <f>LOOKUP((AQ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7" s="86" t="s">
        <v>83</v>
      </c>
      <c r="CP7" s="82">
        <v>22</v>
      </c>
      <c r="CQ7" s="83">
        <v>22.6</v>
      </c>
      <c r="CR7" s="94">
        <f>CQ7-CP7</f>
        <v>0.60000000000000142</v>
      </c>
      <c r="CS7" s="99"/>
      <c r="CT7" s="83"/>
      <c r="CU7" s="94"/>
      <c r="CV7" s="83"/>
      <c r="CW7" s="82"/>
      <c r="CX7" s="98"/>
      <c r="CY7" s="82">
        <f>N7*R7*2</f>
        <v>28.796366859839999</v>
      </c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</row>
    <row r="8" spans="1:124" s="144" customFormat="1" ht="16.5" customHeight="1" x14ac:dyDescent="0.25">
      <c r="A8" s="124" t="s">
        <v>78</v>
      </c>
      <c r="B8" s="125" t="s">
        <v>89</v>
      </c>
      <c r="C8" s="126">
        <v>1.33</v>
      </c>
      <c r="D8" s="126">
        <v>0.28999999999999998</v>
      </c>
      <c r="E8" s="127">
        <f t="shared" ref="E8:E11" si="69">(F8-C8)+(G8-D8)</f>
        <v>6.4800000000000135E-2</v>
      </c>
      <c r="F8" s="127">
        <f t="shared" si="67"/>
        <v>1.3832000000000002</v>
      </c>
      <c r="G8" s="127">
        <f t="shared" si="67"/>
        <v>0.30159999999999998</v>
      </c>
      <c r="H8" s="127">
        <f t="shared" ref="H8:H11" si="70">F8+G8</f>
        <v>1.6848000000000001</v>
      </c>
      <c r="I8" s="127">
        <f t="shared" ref="I8:I11" si="71">((F8/(AP8-AQ8))+(G8/(AT8-AU8)))*1000</f>
        <v>48.137142857142862</v>
      </c>
      <c r="J8" s="128">
        <f t="shared" ref="J8:J11" si="72">I8/AS8</f>
        <v>50.227616245271044</v>
      </c>
      <c r="K8" s="129">
        <v>159</v>
      </c>
      <c r="L8" s="127" t="s">
        <v>11</v>
      </c>
      <c r="M8" s="130">
        <v>4.5</v>
      </c>
      <c r="N8" s="131">
        <v>22</v>
      </c>
      <c r="O8" s="127" t="str">
        <f t="shared" ref="O8:O11" si="73">IF(K8&lt;159,"0,3",IF((K8&gt;159),"0,4","0,3"))</f>
        <v>0,3</v>
      </c>
      <c r="P8" s="127">
        <f t="shared" ref="P8:P11" si="74">N8*(1+O8)</f>
        <v>28.6</v>
      </c>
      <c r="Q8" s="127">
        <f t="shared" ref="Q8:Q11" si="75">(J8/3600)/R8</f>
        <v>0.78952890443297263</v>
      </c>
      <c r="R8" s="127">
        <f t="shared" ref="R8:R11" si="76">(3.14159*AW8^2)/4</f>
        <v>1.7671443749999998E-2</v>
      </c>
      <c r="S8" s="127" t="str">
        <f t="shared" ref="S8:S11" si="77">IF(T8="сталь","0,0005",IF((T8="изола"),"0,000007"))</f>
        <v>0,0005</v>
      </c>
      <c r="T8" s="127" t="s">
        <v>79</v>
      </c>
      <c r="U8" s="127" t="s">
        <v>80</v>
      </c>
      <c r="V8" s="127">
        <f t="shared" ref="V8:V11" si="78">Y8</f>
        <v>958.38</v>
      </c>
      <c r="W8" s="132" t="str">
        <f>LOOKUP(AP8,{5,10,15,20,25,30,40,50,60,70,80,90,100,125,150},{"0,000181656","0,000156444","0,000136428","0,000120228","0,000106908","0,000095784","0,00007848","0,000065724","0,000056088","0,000048576","0,000042648","0,00003786","0,000033948","0,0000264","0,00002196"})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8" s="133">
        <f t="shared" ref="X8:X11" si="79">(W8*9.81)/V8</f>
        <v>3.4749251862518006E-7</v>
      </c>
      <c r="Y8" s="127">
        <f t="shared" ref="Y8:Y11" si="80">AS8*1000</f>
        <v>958.38</v>
      </c>
      <c r="Z8" s="134">
        <f t="shared" ref="Z8:Z11" si="81">(Q8*AW8)/X8</f>
        <v>340811.18101045711</v>
      </c>
      <c r="AA8" s="134">
        <f t="shared" ref="AA8:AA11" si="82">560*AW8/S8</f>
        <v>168000</v>
      </c>
      <c r="AB8" s="127">
        <f t="shared" ref="AB8:AB11" si="83">0.11*(((S8/AW8)+(68/Z8))^0.25)</f>
        <v>2.6817865553520722E-2</v>
      </c>
      <c r="AC8" s="127">
        <f t="shared" ref="AC8:AC11" si="84">1/(1.14+2*LOG(AW8/S8))^2</f>
        <v>2.6925299052784474E-2</v>
      </c>
      <c r="AD8" s="135" t="str">
        <f t="shared" ref="AD8:AD11" si="85">IF(Z8&lt;AA8,""&amp;AB8,IF((Z8&gt;AA8),""&amp;AC8))</f>
        <v>0,0269252990527845</v>
      </c>
      <c r="AE8" s="127">
        <f t="shared" ref="AE8:AE11" si="86">(Q8*AW8)/X8</f>
        <v>340811.18101045711</v>
      </c>
      <c r="AF8" s="127">
        <f t="shared" ref="AF8:AF11" si="87">LOG10(AE8)</f>
        <v>5.5325138342504419</v>
      </c>
      <c r="AG8" s="127">
        <f t="shared" ref="AG8:AG11" si="88">(500*AW8)/S8</f>
        <v>150000</v>
      </c>
      <c r="AH8" s="127">
        <f t="shared" ref="AH8:AH11" si="89">LOG10(AG8)</f>
        <v>5.1760912590556813</v>
      </c>
      <c r="AI8" s="127">
        <f t="shared" ref="AI8:AI11" si="90">(AF8/AH8)+1</f>
        <v>2.0688594071001338</v>
      </c>
      <c r="AJ8" s="127">
        <f t="shared" ref="AJ8:AJ11" si="91">IF(AI8&gt;2,2,AI8)</f>
        <v>2</v>
      </c>
      <c r="AK8" s="127">
        <f t="shared" ref="AK8:AK11" si="92">LOG10((3.7*AW8)/S8)</f>
        <v>3.0453229787866576</v>
      </c>
      <c r="AL8" s="127">
        <f t="shared" ref="AL8:AL11" si="93">AF8-1</f>
        <v>4.5325138342504419</v>
      </c>
      <c r="AM8" s="127">
        <f t="shared" ref="AM8:AM11" si="94">(1.312*(2-AJ8)*AK8)/AL8</f>
        <v>0</v>
      </c>
      <c r="AN8" s="127">
        <f t="shared" ref="AN8:AN11" si="95">(0.5*((AJ8/2)+AM8))/AK8</f>
        <v>0.16418619748477847</v>
      </c>
      <c r="AO8" s="127">
        <f t="shared" ref="AO8:AO11" si="96">AN8*AN8</f>
        <v>2.6957107444510676E-2</v>
      </c>
      <c r="AP8" s="127">
        <v>105</v>
      </c>
      <c r="AQ8" s="127">
        <v>70</v>
      </c>
      <c r="AR8" s="127">
        <f t="shared" ref="AR8:AR11" si="97">AP8-AQ8</f>
        <v>35</v>
      </c>
      <c r="AS8" s="132" t="str">
        <f>LOOKUP(AP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8" s="132">
        <v>105</v>
      </c>
      <c r="AU8" s="132">
        <v>70</v>
      </c>
      <c r="AV8" s="127">
        <f t="shared" ref="AV8:AV11" si="98">AT8-AU8</f>
        <v>35</v>
      </c>
      <c r="AW8" s="127">
        <f t="shared" ref="AW8:AW11" si="99">(K8-(M8*2))/1000</f>
        <v>0.15</v>
      </c>
      <c r="AX8" s="132" t="str">
        <f t="shared" ref="AX8:AX11" si="100">IF(T8="изола",AO8,AD8)</f>
        <v>0,0269252990527845</v>
      </c>
      <c r="AY8" s="127">
        <f t="shared" ref="AY8:AY11" si="101">(0.00638*AX8*(I8^2))/((AW8^5)*V8)</f>
        <v>5.469502132323675</v>
      </c>
      <c r="AZ8" s="127">
        <f t="shared" ref="AZ8:AZ11" si="102">AY8*9.81</f>
        <v>53.655815918095257</v>
      </c>
      <c r="BA8" s="127">
        <f t="shared" ref="BA8:BA11" si="103">(AZ8/9.81/Y8)*1000</f>
        <v>5.7070286653766518</v>
      </c>
      <c r="BB8" s="127">
        <f t="shared" ref="BB8:BB11" si="104">BA8*P8/1000</f>
        <v>0.16322101982977225</v>
      </c>
      <c r="BC8" s="127">
        <f t="shared" ref="BC8:BC11" si="105">I8/BW8</f>
        <v>49.229546493841198</v>
      </c>
      <c r="BD8" s="127">
        <f t="shared" ref="BD8:BD11" si="106">(BC8/3600)/R8</f>
        <v>0.77384022604644287</v>
      </c>
      <c r="BE8" s="127">
        <f t="shared" ref="BE8:BE11" si="107">BH8</f>
        <v>977.81</v>
      </c>
      <c r="BF8" s="127" t="str">
        <f>LOOKUP(AQ8,{5,10,15,20,25,30,40,50,60,70,80,90,100,125,150},{"0,000181656","0,000156444","0,000136428","0,000120228","0,000106908","0,000095784","0,00007848","0,000065724","0,000056088","0,000048576","0,000042648","0,00003786","0,000033948","0,0000264","0,00002196"})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8" s="136">
        <f t="shared" ref="BG8:BG11" si="108">(BF8*9.81)/BE8</f>
        <v>4.8734473977562104E-7</v>
      </c>
      <c r="BH8" s="127">
        <f t="shared" ref="BH8:BH11" si="109">BW8*1000</f>
        <v>977.81</v>
      </c>
      <c r="BI8" s="127">
        <f t="shared" ref="BI8:BI11" si="110">(BD8*AW8)/BG8</f>
        <v>238180.5412743536</v>
      </c>
      <c r="BJ8" s="127">
        <f t="shared" ref="BJ8:BJ11" si="111">0.11*(((S8/AW8)+(68/BI8))^0.25)</f>
        <v>2.6979553751762517E-2</v>
      </c>
      <c r="BK8" s="135" t="str">
        <f t="shared" ref="BK8:BK11" si="112">IF(BI8&lt;AA8,""&amp;BJ8,IF((BI8&gt;AA8),""&amp;AC8))</f>
        <v>0,0269252990527845</v>
      </c>
      <c r="BL8" s="127">
        <f t="shared" ref="BL8:BL11" si="113">(BD8*AW8)/BG8</f>
        <v>238180.5412743536</v>
      </c>
      <c r="BM8" s="127">
        <f t="shared" ref="BM8:BM11" si="114">LOG10(BL8)</f>
        <v>5.3769062778756904</v>
      </c>
      <c r="BN8" s="127">
        <f t="shared" ref="BN8:BN11" si="115">(500*AW8)/S8</f>
        <v>150000</v>
      </c>
      <c r="BO8" s="127">
        <f t="shared" ref="BO8:BO11" si="116">LOG10(BN8)</f>
        <v>5.1760912590556813</v>
      </c>
      <c r="BP8" s="127">
        <f t="shared" ref="BP8:BP11" si="117">(BM8/BO8)+1</f>
        <v>2.0387966534532556</v>
      </c>
      <c r="BQ8" s="127">
        <f t="shared" ref="BQ8:BQ11" si="118">IF(BP8&gt;2,2,BP8)</f>
        <v>2</v>
      </c>
      <c r="BR8" s="127">
        <f t="shared" ref="BR8:BR11" si="119">LOG10((3.7*AW8)/S8)</f>
        <v>3.0453229787866576</v>
      </c>
      <c r="BS8" s="127">
        <f t="shared" ref="BS8:BS11" si="120">BM8-1</f>
        <v>4.3769062778756904</v>
      </c>
      <c r="BT8" s="127">
        <f t="shared" ref="BT8:BT11" si="121">(1.312*(2-BQ8)*BR8)/BS8</f>
        <v>0</v>
      </c>
      <c r="BU8" s="127">
        <f t="shared" ref="BU8:BU11" si="122">(0.5*((BQ8/2)+BT8))/BR8</f>
        <v>0.16418619748477847</v>
      </c>
      <c r="BV8" s="127">
        <f t="shared" ref="BV8:BV11" si="123">BU8*BU8</f>
        <v>2.6957107444510676E-2</v>
      </c>
      <c r="BW8" s="127" t="str">
        <f>LOOKUP(AQ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8" s="137" t="str">
        <f t="shared" ref="BX8:BX11" si="124">IF(T8="изола",BV8,BK8)</f>
        <v>0,0269252990527845</v>
      </c>
      <c r="BY8" s="127">
        <f t="shared" ref="BY8:BY11" si="125">(0.00638*BX8*(I8^2))/((AW8^5)*BE8)</f>
        <v>5.36081800510975</v>
      </c>
      <c r="BZ8" s="127">
        <f t="shared" ref="BZ8:BZ11" si="126">BY8*9.81</f>
        <v>52.58962463012665</v>
      </c>
      <c r="CA8" s="127">
        <f t="shared" ref="CA8:CA11" si="127">(BZ8/9.81/BH8)*1000</f>
        <v>5.4824741055110406</v>
      </c>
      <c r="CB8" s="127">
        <f t="shared" ref="CB8:CB11" si="128">CA8*P8/1000</f>
        <v>0.15679875941761576</v>
      </c>
      <c r="CC8" s="138">
        <f t="shared" ref="CC8:CC11" si="129">BB8+CB8</f>
        <v>0.320019779247388</v>
      </c>
      <c r="CD8" s="139" t="e">
        <f>SUM(#REF!,CC5:CC8)</f>
        <v>#REF!</v>
      </c>
      <c r="CE8" s="126" t="e">
        <f>#REF!-BB8</f>
        <v>#REF!</v>
      </c>
      <c r="CF8" s="130" t="e">
        <f>#REF!+CB8</f>
        <v>#REF!</v>
      </c>
      <c r="CG8" s="140" t="e">
        <f t="shared" ref="CG8:CG11" si="130">CE8-CF8</f>
        <v>#REF!</v>
      </c>
      <c r="CH8" s="141" t="s">
        <v>81</v>
      </c>
      <c r="CI8" s="127" t="e">
        <f t="shared" ref="CI8:CI11" si="131">CE8-CR8</f>
        <v>#REF!</v>
      </c>
      <c r="CJ8" s="127" t="s">
        <v>82</v>
      </c>
      <c r="CK8" s="138" t="str">
        <f>LOOKUP((AP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8" s="142" t="e">
        <f t="shared" ref="CL8:CL11" si="132">CF8-CR8</f>
        <v>#REF!</v>
      </c>
      <c r="CM8" s="126" t="s">
        <v>82</v>
      </c>
      <c r="CN8" s="127" t="str">
        <f>LOOKUP((AQ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8" s="130" t="s">
        <v>83</v>
      </c>
      <c r="CP8" s="126">
        <v>22</v>
      </c>
      <c r="CQ8" s="127">
        <v>20.27</v>
      </c>
      <c r="CR8" s="138">
        <f t="shared" ref="CR8:CR11" si="133">CQ8-CP8</f>
        <v>-1.7300000000000004</v>
      </c>
      <c r="CS8" s="141">
        <v>5.5</v>
      </c>
      <c r="CT8" s="127">
        <f t="shared" ref="CT8:CT11" si="134">CQ8+CS8+5-CP8</f>
        <v>8.77</v>
      </c>
      <c r="CU8" s="138" t="s">
        <v>90</v>
      </c>
      <c r="CV8" s="127">
        <f t="shared" ref="CV8:CV11" si="135">$CV$2+CP8-CQ8</f>
        <v>37.730000000000004</v>
      </c>
      <c r="CW8" s="126" t="s">
        <v>82</v>
      </c>
      <c r="CX8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8" s="126">
        <f t="shared" ref="CY8:CY11" si="136">N8*R8*2</f>
        <v>0.7775435249999999</v>
      </c>
      <c r="CZ8" s="143" t="e">
        <f t="shared" ref="CZ8:CZ11" si="137">CD8+CG8</f>
        <v>#REF!</v>
      </c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</row>
    <row r="9" spans="1:124" s="144" customFormat="1" ht="16.5" customHeight="1" x14ac:dyDescent="0.25">
      <c r="A9" s="124" t="s">
        <v>85</v>
      </c>
      <c r="B9" s="125" t="s">
        <v>91</v>
      </c>
      <c r="C9" s="126">
        <v>1.34</v>
      </c>
      <c r="D9" s="126">
        <v>0.28999999999999998</v>
      </c>
      <c r="E9" s="127">
        <f t="shared" si="69"/>
        <v>6.5200000000000091E-2</v>
      </c>
      <c r="F9" s="127">
        <f t="shared" si="67"/>
        <v>1.3936000000000002</v>
      </c>
      <c r="G9" s="127">
        <f t="shared" si="67"/>
        <v>0.30159999999999998</v>
      </c>
      <c r="H9" s="127">
        <f t="shared" si="70"/>
        <v>1.6952000000000003</v>
      </c>
      <c r="I9" s="127">
        <f t="shared" si="71"/>
        <v>48.434285714285721</v>
      </c>
      <c r="J9" s="128">
        <f t="shared" si="72"/>
        <v>50.537663259130746</v>
      </c>
      <c r="K9" s="129">
        <v>159</v>
      </c>
      <c r="L9" s="127" t="s">
        <v>11</v>
      </c>
      <c r="M9" s="130">
        <v>4.5</v>
      </c>
      <c r="N9" s="131">
        <v>22</v>
      </c>
      <c r="O9" s="127" t="str">
        <f t="shared" si="73"/>
        <v>0,3</v>
      </c>
      <c r="P9" s="127">
        <f t="shared" si="74"/>
        <v>28.6</v>
      </c>
      <c r="Q9" s="127">
        <f t="shared" si="75"/>
        <v>0.79440253964552199</v>
      </c>
      <c r="R9" s="127">
        <f t="shared" si="76"/>
        <v>1.7671443749999998E-2</v>
      </c>
      <c r="S9" s="127" t="str">
        <f t="shared" si="77"/>
        <v>0,0005</v>
      </c>
      <c r="T9" s="127" t="s">
        <v>79</v>
      </c>
      <c r="U9" s="127" t="s">
        <v>80</v>
      </c>
      <c r="V9" s="127">
        <f t="shared" si="78"/>
        <v>958.38</v>
      </c>
      <c r="W9" s="132" t="str">
        <f>LOOKUP(AP9,{5,10,15,20,25,30,40,50,60,70,80,90,100,125,150},{"0,000181656","0,000156444","0,000136428","0,000120228","0,000106908","0,000095784","0,00007848","0,000065724","0,000056088","0,000048576","0,000042648","0,00003786","0,000033948","0,0000264","0,00002196"})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9" s="133">
        <f t="shared" si="79"/>
        <v>3.4749251862518006E-7</v>
      </c>
      <c r="Y9" s="127">
        <f t="shared" si="80"/>
        <v>958.38</v>
      </c>
      <c r="Z9" s="134">
        <f t="shared" si="81"/>
        <v>342914.95373274398</v>
      </c>
      <c r="AA9" s="134">
        <f t="shared" si="82"/>
        <v>168000</v>
      </c>
      <c r="AB9" s="127">
        <f t="shared" si="83"/>
        <v>2.6815542270963531E-2</v>
      </c>
      <c r="AC9" s="127">
        <f t="shared" si="84"/>
        <v>2.6925299052784474E-2</v>
      </c>
      <c r="AD9" s="135" t="str">
        <f t="shared" si="85"/>
        <v>0,0269252990527845</v>
      </c>
      <c r="AE9" s="127">
        <f t="shared" si="86"/>
        <v>342914.95373274398</v>
      </c>
      <c r="AF9" s="127">
        <f t="shared" si="87"/>
        <v>5.5351864241117692</v>
      </c>
      <c r="AG9" s="127">
        <f t="shared" si="88"/>
        <v>150000</v>
      </c>
      <c r="AH9" s="127">
        <f t="shared" si="89"/>
        <v>5.1760912590556813</v>
      </c>
      <c r="AI9" s="127">
        <f t="shared" si="90"/>
        <v>2.0693757407054685</v>
      </c>
      <c r="AJ9" s="127">
        <f t="shared" si="91"/>
        <v>2</v>
      </c>
      <c r="AK9" s="127">
        <f t="shared" si="92"/>
        <v>3.0453229787866576</v>
      </c>
      <c r="AL9" s="127">
        <f t="shared" si="93"/>
        <v>4.5351864241117692</v>
      </c>
      <c r="AM9" s="127">
        <f t="shared" si="94"/>
        <v>0</v>
      </c>
      <c r="AN9" s="127">
        <f t="shared" si="95"/>
        <v>0.16418619748477847</v>
      </c>
      <c r="AO9" s="127">
        <f t="shared" si="96"/>
        <v>2.6957107444510676E-2</v>
      </c>
      <c r="AP9" s="127">
        <v>105</v>
      </c>
      <c r="AQ9" s="127">
        <v>70</v>
      </c>
      <c r="AR9" s="127">
        <f t="shared" si="97"/>
        <v>35</v>
      </c>
      <c r="AS9" s="132" t="str">
        <f>LOOKUP(AP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9" s="132">
        <v>105</v>
      </c>
      <c r="AU9" s="132">
        <v>70</v>
      </c>
      <c r="AV9" s="127">
        <f t="shared" si="98"/>
        <v>35</v>
      </c>
      <c r="AW9" s="127">
        <f t="shared" si="99"/>
        <v>0.15</v>
      </c>
      <c r="AX9" s="132" t="str">
        <f t="shared" si="100"/>
        <v>0,0269252990527845</v>
      </c>
      <c r="AY9" s="127">
        <f t="shared" si="101"/>
        <v>5.5372352596291616</v>
      </c>
      <c r="AZ9" s="127">
        <f t="shared" si="102"/>
        <v>54.320277896962075</v>
      </c>
      <c r="BA9" s="127">
        <f t="shared" si="103"/>
        <v>5.7777032697146868</v>
      </c>
      <c r="BB9" s="127">
        <f t="shared" si="104"/>
        <v>0.16524231351384006</v>
      </c>
      <c r="BC9" s="127">
        <f t="shared" si="105"/>
        <v>49.533432583309356</v>
      </c>
      <c r="BD9" s="127">
        <f t="shared" si="106"/>
        <v>0.77861701756524815</v>
      </c>
      <c r="BE9" s="127">
        <f t="shared" si="107"/>
        <v>977.81</v>
      </c>
      <c r="BF9" s="127" t="str">
        <f>LOOKUP(AQ9,{5,10,15,20,25,30,40,50,60,70,80,90,100,125,150},{"0,000181656","0,000156444","0,000136428","0,000120228","0,000106908","0,000095784","0,00007848","0,000065724","0,000056088","0,000048576","0,000042648","0,00003786","0,000033948","0,0000264","0,00002196"})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9" s="136">
        <f t="shared" si="108"/>
        <v>4.8734473977562104E-7</v>
      </c>
      <c r="BH9" s="127">
        <f t="shared" si="109"/>
        <v>977.81</v>
      </c>
      <c r="BI9" s="127">
        <f t="shared" si="110"/>
        <v>239650.7915291336</v>
      </c>
      <c r="BJ9" s="127">
        <f t="shared" si="111"/>
        <v>2.6976288622844295E-2</v>
      </c>
      <c r="BK9" s="135" t="str">
        <f t="shared" si="112"/>
        <v>0,0269252990527845</v>
      </c>
      <c r="BL9" s="127">
        <f t="shared" si="113"/>
        <v>239650.7915291336</v>
      </c>
      <c r="BM9" s="127">
        <f t="shared" si="114"/>
        <v>5.3795788677370169</v>
      </c>
      <c r="BN9" s="127">
        <f t="shared" si="115"/>
        <v>150000</v>
      </c>
      <c r="BO9" s="127">
        <f t="shared" si="116"/>
        <v>5.1760912590556813</v>
      </c>
      <c r="BP9" s="127">
        <f t="shared" si="117"/>
        <v>2.0393129870585898</v>
      </c>
      <c r="BQ9" s="127">
        <f t="shared" si="118"/>
        <v>2</v>
      </c>
      <c r="BR9" s="127">
        <f t="shared" si="119"/>
        <v>3.0453229787866576</v>
      </c>
      <c r="BS9" s="127">
        <f t="shared" si="120"/>
        <v>4.3795788677370169</v>
      </c>
      <c r="BT9" s="127">
        <f t="shared" si="121"/>
        <v>0</v>
      </c>
      <c r="BU9" s="127">
        <f t="shared" si="122"/>
        <v>0.16418619748477847</v>
      </c>
      <c r="BV9" s="127">
        <f t="shared" si="123"/>
        <v>2.6957107444510676E-2</v>
      </c>
      <c r="BW9" s="127" t="str">
        <f>LOOKUP(AQ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9" s="137" t="str">
        <f t="shared" si="124"/>
        <v>0,0269252990527845</v>
      </c>
      <c r="BY9" s="127">
        <f t="shared" si="125"/>
        <v>5.4272052117726313</v>
      </c>
      <c r="BZ9" s="127">
        <f t="shared" si="126"/>
        <v>53.240883127489518</v>
      </c>
      <c r="CA9" s="127">
        <f t="shared" si="127"/>
        <v>5.5503678749170406</v>
      </c>
      <c r="CB9" s="127">
        <f t="shared" si="128"/>
        <v>0.15874052122262736</v>
      </c>
      <c r="CC9" s="138">
        <f t="shared" si="129"/>
        <v>0.32398283473646738</v>
      </c>
      <c r="CD9" s="139" t="e">
        <f>SUM(#REF!,CC5:CC9)</f>
        <v>#REF!</v>
      </c>
      <c r="CE9" s="126" t="e">
        <f>CE8-BB9</f>
        <v>#REF!</v>
      </c>
      <c r="CF9" s="130" t="e">
        <f>CF8+CB9</f>
        <v>#REF!</v>
      </c>
      <c r="CG9" s="140" t="e">
        <f t="shared" si="130"/>
        <v>#REF!</v>
      </c>
      <c r="CH9" s="141" t="s">
        <v>81</v>
      </c>
      <c r="CI9" s="127" t="e">
        <f t="shared" si="131"/>
        <v>#REF!</v>
      </c>
      <c r="CJ9" s="127" t="s">
        <v>82</v>
      </c>
      <c r="CK9" s="138" t="str">
        <f>LOOKUP((AP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9" s="142" t="e">
        <f t="shared" si="132"/>
        <v>#REF!</v>
      </c>
      <c r="CM9" s="126" t="s">
        <v>82</v>
      </c>
      <c r="CN9" s="127" t="str">
        <f>LOOKUP((AQ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9" s="130" t="s">
        <v>83</v>
      </c>
      <c r="CP9" s="126">
        <v>22</v>
      </c>
      <c r="CQ9" s="127">
        <v>20.27</v>
      </c>
      <c r="CR9" s="138">
        <f t="shared" si="133"/>
        <v>-1.7300000000000004</v>
      </c>
      <c r="CS9" s="141">
        <v>5.5</v>
      </c>
      <c r="CT9" s="127">
        <f t="shared" si="134"/>
        <v>8.77</v>
      </c>
      <c r="CU9" s="138" t="s">
        <v>90</v>
      </c>
      <c r="CV9" s="127">
        <f t="shared" si="135"/>
        <v>37.730000000000004</v>
      </c>
      <c r="CW9" s="126" t="s">
        <v>82</v>
      </c>
      <c r="CX9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9" s="126">
        <f t="shared" si="136"/>
        <v>0.7775435249999999</v>
      </c>
      <c r="CZ9" s="143" t="e">
        <f t="shared" si="137"/>
        <v>#REF!</v>
      </c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</row>
    <row r="10" spans="1:124" s="144" customFormat="1" ht="16.5" customHeight="1" x14ac:dyDescent="0.25">
      <c r="A10" s="124" t="s">
        <v>87</v>
      </c>
      <c r="B10" s="125" t="s">
        <v>92</v>
      </c>
      <c r="C10" s="126">
        <v>0.28999999999999998</v>
      </c>
      <c r="D10" s="126">
        <v>0.05</v>
      </c>
      <c r="E10" s="127">
        <f t="shared" si="69"/>
        <v>1.3600000000000001E-2</v>
      </c>
      <c r="F10" s="127">
        <f t="shared" si="67"/>
        <v>0.30159999999999998</v>
      </c>
      <c r="G10" s="127">
        <f t="shared" si="67"/>
        <v>5.2000000000000005E-2</v>
      </c>
      <c r="H10" s="127">
        <f t="shared" si="70"/>
        <v>0.35359999999999997</v>
      </c>
      <c r="I10" s="127">
        <f t="shared" si="71"/>
        <v>10.102857142857143</v>
      </c>
      <c r="J10" s="128">
        <f t="shared" si="72"/>
        <v>10.541598471229724</v>
      </c>
      <c r="K10" s="129">
        <v>89</v>
      </c>
      <c r="L10" s="127" t="s">
        <v>11</v>
      </c>
      <c r="M10" s="130">
        <v>4.5</v>
      </c>
      <c r="N10" s="131">
        <v>53</v>
      </c>
      <c r="O10" s="127" t="str">
        <f t="shared" si="73"/>
        <v>0,3</v>
      </c>
      <c r="P10" s="127">
        <f t="shared" si="74"/>
        <v>68.900000000000006</v>
      </c>
      <c r="Q10" s="127">
        <f t="shared" si="75"/>
        <v>0.58255170900002318</v>
      </c>
      <c r="R10" s="127">
        <f t="shared" si="76"/>
        <v>5.026544E-3</v>
      </c>
      <c r="S10" s="127" t="str">
        <f t="shared" si="77"/>
        <v>0,0005</v>
      </c>
      <c r="T10" s="127" t="s">
        <v>79</v>
      </c>
      <c r="U10" s="127" t="s">
        <v>80</v>
      </c>
      <c r="V10" s="127">
        <f t="shared" si="78"/>
        <v>958.38</v>
      </c>
      <c r="W10" s="132" t="str">
        <f>LOOKUP(AP10,{5,10,15,20,25,30,40,50,60,70,80,90,100,125,150},{"0,000181656","0,000156444","0,000136428","0,000120228","0,000106908","0,000095784","0,00007848","0,000065724","0,000056088","0,000048576","0,000042648","0,00003786","0,000033948","0,0000264","0,00002196"})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10" s="133">
        <f t="shared" si="79"/>
        <v>3.4749251862518006E-7</v>
      </c>
      <c r="Y10" s="127">
        <f t="shared" si="80"/>
        <v>958.38</v>
      </c>
      <c r="Z10" s="134">
        <f t="shared" si="81"/>
        <v>134115.51104578175</v>
      </c>
      <c r="AA10" s="134">
        <f t="shared" si="82"/>
        <v>89600</v>
      </c>
      <c r="AB10" s="127">
        <f t="shared" si="83"/>
        <v>3.1537813203236106E-2</v>
      </c>
      <c r="AC10" s="127">
        <f t="shared" si="84"/>
        <v>3.248549788373601E-2</v>
      </c>
      <c r="AD10" s="135" t="str">
        <f t="shared" si="85"/>
        <v>0,032485497883736</v>
      </c>
      <c r="AE10" s="127">
        <f t="shared" si="86"/>
        <v>134115.51104578175</v>
      </c>
      <c r="AF10" s="127">
        <f t="shared" si="87"/>
        <v>5.127479008813804</v>
      </c>
      <c r="AG10" s="127">
        <f t="shared" si="88"/>
        <v>80000</v>
      </c>
      <c r="AH10" s="127">
        <f t="shared" si="89"/>
        <v>4.9030899869919438</v>
      </c>
      <c r="AI10" s="127">
        <f t="shared" si="90"/>
        <v>2.0457648181895847</v>
      </c>
      <c r="AJ10" s="127">
        <f t="shared" si="91"/>
        <v>2</v>
      </c>
      <c r="AK10" s="127">
        <f t="shared" si="92"/>
        <v>2.77232170672292</v>
      </c>
      <c r="AL10" s="127">
        <f t="shared" si="93"/>
        <v>4.127479008813804</v>
      </c>
      <c r="AM10" s="127">
        <f t="shared" si="94"/>
        <v>0</v>
      </c>
      <c r="AN10" s="127">
        <f t="shared" si="95"/>
        <v>0.18035424921555562</v>
      </c>
      <c r="AO10" s="127">
        <f t="shared" si="96"/>
        <v>3.2527655210106747E-2</v>
      </c>
      <c r="AP10" s="127">
        <v>105</v>
      </c>
      <c r="AQ10" s="127">
        <v>70</v>
      </c>
      <c r="AR10" s="127">
        <f t="shared" si="97"/>
        <v>35</v>
      </c>
      <c r="AS10" s="132" t="str">
        <f>LOOKUP(AP10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10" s="132">
        <v>105</v>
      </c>
      <c r="AU10" s="132">
        <v>70</v>
      </c>
      <c r="AV10" s="127">
        <f t="shared" si="98"/>
        <v>35</v>
      </c>
      <c r="AW10" s="127">
        <f t="shared" si="99"/>
        <v>0.08</v>
      </c>
      <c r="AX10" s="132" t="str">
        <f t="shared" si="100"/>
        <v>0,032485497883736</v>
      </c>
      <c r="AY10" s="127">
        <f t="shared" si="101"/>
        <v>6.7361376468533161</v>
      </c>
      <c r="AZ10" s="127">
        <f t="shared" si="102"/>
        <v>66.081510315631036</v>
      </c>
      <c r="BA10" s="127">
        <f t="shared" si="103"/>
        <v>7.0286709310016029</v>
      </c>
      <c r="BB10" s="127">
        <f t="shared" si="104"/>
        <v>0.48427542714601046</v>
      </c>
      <c r="BC10" s="127">
        <f t="shared" si="105"/>
        <v>10.332127041917289</v>
      </c>
      <c r="BD10" s="127">
        <f t="shared" si="106"/>
        <v>0.57097586123218447</v>
      </c>
      <c r="BE10" s="127">
        <f t="shared" si="107"/>
        <v>977.81</v>
      </c>
      <c r="BF10" s="127" t="str">
        <f>LOOKUP(AQ10,{5,10,15,20,25,30,40,50,60,70,80,90,100,125,150},{"0,000181656","0,000156444","0,000136428","0,000120228","0,000106908","0,000095784","0,00007848","0,000065724","0,000056088","0,000048576","0,000042648","0,00003786","0,000033948","0,0000264","0,00002196"})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10" s="136">
        <f t="shared" si="108"/>
        <v>4.8734473977562104E-7</v>
      </c>
      <c r="BH10" s="127">
        <f t="shared" si="109"/>
        <v>977.81</v>
      </c>
      <c r="BI10" s="127">
        <f t="shared" si="110"/>
        <v>93728.453742222497</v>
      </c>
      <c r="BJ10" s="127">
        <f t="shared" si="111"/>
        <v>3.1789706775468551E-2</v>
      </c>
      <c r="BK10" s="135" t="str">
        <f t="shared" si="112"/>
        <v>0,032485497883736</v>
      </c>
      <c r="BL10" s="127">
        <f t="shared" si="113"/>
        <v>93728.453742222497</v>
      </c>
      <c r="BM10" s="127">
        <f t="shared" si="114"/>
        <v>4.9718714524390526</v>
      </c>
      <c r="BN10" s="127">
        <f t="shared" si="115"/>
        <v>80000</v>
      </c>
      <c r="BO10" s="127">
        <f t="shared" si="116"/>
        <v>4.9030899869919438</v>
      </c>
      <c r="BP10" s="127">
        <f t="shared" si="117"/>
        <v>2.0140281874551738</v>
      </c>
      <c r="BQ10" s="127">
        <f t="shared" si="118"/>
        <v>2</v>
      </c>
      <c r="BR10" s="127">
        <f t="shared" si="119"/>
        <v>2.77232170672292</v>
      </c>
      <c r="BS10" s="127">
        <f t="shared" si="120"/>
        <v>3.9718714524390526</v>
      </c>
      <c r="BT10" s="127">
        <f t="shared" si="121"/>
        <v>0</v>
      </c>
      <c r="BU10" s="127">
        <f t="shared" si="122"/>
        <v>0.18035424921555562</v>
      </c>
      <c r="BV10" s="127">
        <f t="shared" si="123"/>
        <v>3.2527655210106747E-2</v>
      </c>
      <c r="BW10" s="127" t="str">
        <f>LOOKUP(AQ10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10" s="137" t="str">
        <f t="shared" si="124"/>
        <v>0,032485497883736</v>
      </c>
      <c r="BY10" s="127">
        <f t="shared" si="125"/>
        <v>6.6022842863043758</v>
      </c>
      <c r="BZ10" s="127">
        <f t="shared" si="126"/>
        <v>64.768408848645933</v>
      </c>
      <c r="CA10" s="127">
        <f t="shared" si="127"/>
        <v>6.7521136890647222</v>
      </c>
      <c r="CB10" s="127">
        <f t="shared" si="128"/>
        <v>0.46522063317655937</v>
      </c>
      <c r="CC10" s="138">
        <f t="shared" si="129"/>
        <v>0.94949606032256983</v>
      </c>
      <c r="CD10" s="139" t="e">
        <f>SUM(#REF!,CC8:CC10)</f>
        <v>#REF!</v>
      </c>
      <c r="CE10" s="126" t="e">
        <f>CE9-BB10</f>
        <v>#REF!</v>
      </c>
      <c r="CF10" s="130" t="e">
        <f>CF9+CB10</f>
        <v>#REF!</v>
      </c>
      <c r="CG10" s="140" t="e">
        <f t="shared" si="130"/>
        <v>#REF!</v>
      </c>
      <c r="CH10" s="141" t="s">
        <v>81</v>
      </c>
      <c r="CI10" s="127" t="e">
        <f t="shared" si="131"/>
        <v>#REF!</v>
      </c>
      <c r="CJ10" s="127" t="s">
        <v>82</v>
      </c>
      <c r="CK10" s="138" t="str">
        <f>LOOKUP((AP10)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10" s="142" t="e">
        <f t="shared" si="132"/>
        <v>#REF!</v>
      </c>
      <c r="CM10" s="126" t="s">
        <v>82</v>
      </c>
      <c r="CN10" s="127" t="str">
        <f>LOOKUP((AQ10)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10" s="130" t="s">
        <v>83</v>
      </c>
      <c r="CP10" s="126">
        <v>22</v>
      </c>
      <c r="CQ10" s="127">
        <v>20.27</v>
      </c>
      <c r="CR10" s="138">
        <f t="shared" si="133"/>
        <v>-1.7300000000000004</v>
      </c>
      <c r="CS10" s="141">
        <v>5.5</v>
      </c>
      <c r="CT10" s="127">
        <f t="shared" si="134"/>
        <v>8.77</v>
      </c>
      <c r="CU10" s="138" t="s">
        <v>90</v>
      </c>
      <c r="CV10" s="127">
        <f t="shared" si="135"/>
        <v>37.730000000000004</v>
      </c>
      <c r="CW10" s="126" t="s">
        <v>82</v>
      </c>
      <c r="CX10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10" s="126">
        <f t="shared" si="136"/>
        <v>0.53281366399999996</v>
      </c>
      <c r="CZ10" s="143" t="e">
        <f t="shared" si="137"/>
        <v>#REF!</v>
      </c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</row>
    <row r="11" spans="1:124" s="144" customFormat="1" ht="16.5" customHeight="1" x14ac:dyDescent="0.25">
      <c r="A11" s="124" t="s">
        <v>88</v>
      </c>
      <c r="B11" s="125" t="s">
        <v>93</v>
      </c>
      <c r="C11" s="126">
        <v>1.34</v>
      </c>
      <c r="D11" s="126">
        <v>0.28000000000000003</v>
      </c>
      <c r="E11" s="127">
        <f t="shared" si="69"/>
        <v>6.480000000000008E-2</v>
      </c>
      <c r="F11" s="127">
        <f t="shared" si="67"/>
        <v>1.3936000000000002</v>
      </c>
      <c r="G11" s="127">
        <f t="shared" si="67"/>
        <v>0.29120000000000001</v>
      </c>
      <c r="H11" s="127">
        <f t="shared" si="70"/>
        <v>1.6848000000000001</v>
      </c>
      <c r="I11" s="127">
        <f t="shared" si="71"/>
        <v>48.137142857142862</v>
      </c>
      <c r="J11" s="128">
        <f t="shared" si="72"/>
        <v>50.227616245271044</v>
      </c>
      <c r="K11" s="129">
        <v>159</v>
      </c>
      <c r="L11" s="127" t="s">
        <v>11</v>
      </c>
      <c r="M11" s="130">
        <v>4.5</v>
      </c>
      <c r="N11" s="131">
        <v>20</v>
      </c>
      <c r="O11" s="127" t="str">
        <f t="shared" si="73"/>
        <v>0,3</v>
      </c>
      <c r="P11" s="127">
        <f t="shared" si="74"/>
        <v>26</v>
      </c>
      <c r="Q11" s="127">
        <f t="shared" si="75"/>
        <v>0.78952890443297263</v>
      </c>
      <c r="R11" s="127">
        <f t="shared" si="76"/>
        <v>1.7671443749999998E-2</v>
      </c>
      <c r="S11" s="127" t="str">
        <f t="shared" si="77"/>
        <v>0,0005</v>
      </c>
      <c r="T11" s="127" t="s">
        <v>79</v>
      </c>
      <c r="U11" s="127" t="s">
        <v>80</v>
      </c>
      <c r="V11" s="127">
        <f t="shared" si="78"/>
        <v>958.38</v>
      </c>
      <c r="W11" s="132" t="str">
        <f>LOOKUP(AP11,{5,10,15,20,25,30,40,50,60,70,80,90,100,125,150},{"0,000181656","0,000156444","0,000136428","0,000120228","0,000106908","0,000095784","0,00007848","0,000065724","0,000056088","0,000048576","0,000042648","0,00003786","0,000033948","0,0000264","0,00002196"})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11" s="133">
        <f t="shared" si="79"/>
        <v>3.4749251862518006E-7</v>
      </c>
      <c r="Y11" s="127">
        <f t="shared" si="80"/>
        <v>958.38</v>
      </c>
      <c r="Z11" s="134">
        <f t="shared" si="81"/>
        <v>340811.18101045711</v>
      </c>
      <c r="AA11" s="134">
        <f t="shared" si="82"/>
        <v>168000</v>
      </c>
      <c r="AB11" s="127">
        <f t="shared" si="83"/>
        <v>2.6817865553520722E-2</v>
      </c>
      <c r="AC11" s="127">
        <f t="shared" si="84"/>
        <v>2.6925299052784474E-2</v>
      </c>
      <c r="AD11" s="135" t="str">
        <f t="shared" si="85"/>
        <v>0,0269252990527845</v>
      </c>
      <c r="AE11" s="127">
        <f t="shared" si="86"/>
        <v>340811.18101045711</v>
      </c>
      <c r="AF11" s="127">
        <f t="shared" si="87"/>
        <v>5.5325138342504419</v>
      </c>
      <c r="AG11" s="127">
        <f t="shared" si="88"/>
        <v>150000</v>
      </c>
      <c r="AH11" s="127">
        <f t="shared" si="89"/>
        <v>5.1760912590556813</v>
      </c>
      <c r="AI11" s="127">
        <f t="shared" si="90"/>
        <v>2.0688594071001338</v>
      </c>
      <c r="AJ11" s="127">
        <f t="shared" si="91"/>
        <v>2</v>
      </c>
      <c r="AK11" s="127">
        <f t="shared" si="92"/>
        <v>3.0453229787866576</v>
      </c>
      <c r="AL11" s="127">
        <f t="shared" si="93"/>
        <v>4.5325138342504419</v>
      </c>
      <c r="AM11" s="127">
        <f t="shared" si="94"/>
        <v>0</v>
      </c>
      <c r="AN11" s="127">
        <f t="shared" si="95"/>
        <v>0.16418619748477847</v>
      </c>
      <c r="AO11" s="127">
        <f t="shared" si="96"/>
        <v>2.6957107444510676E-2</v>
      </c>
      <c r="AP11" s="127">
        <v>105</v>
      </c>
      <c r="AQ11" s="127">
        <v>70</v>
      </c>
      <c r="AR11" s="127">
        <f t="shared" si="97"/>
        <v>35</v>
      </c>
      <c r="AS11" s="132" t="str">
        <f>LOOKUP(AP11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11" s="132">
        <v>105</v>
      </c>
      <c r="AU11" s="132">
        <v>70</v>
      </c>
      <c r="AV11" s="127">
        <f t="shared" si="98"/>
        <v>35</v>
      </c>
      <c r="AW11" s="127">
        <f t="shared" si="99"/>
        <v>0.15</v>
      </c>
      <c r="AX11" s="132" t="str">
        <f t="shared" si="100"/>
        <v>0,0269252990527845</v>
      </c>
      <c r="AY11" s="127">
        <f t="shared" si="101"/>
        <v>5.469502132323675</v>
      </c>
      <c r="AZ11" s="127">
        <f t="shared" si="102"/>
        <v>53.655815918095257</v>
      </c>
      <c r="BA11" s="127">
        <f t="shared" si="103"/>
        <v>5.7070286653766518</v>
      </c>
      <c r="BB11" s="127">
        <f t="shared" si="104"/>
        <v>0.14838274529979295</v>
      </c>
      <c r="BC11" s="127">
        <f t="shared" si="105"/>
        <v>49.229546493841198</v>
      </c>
      <c r="BD11" s="127">
        <f t="shared" si="106"/>
        <v>0.77384022604644287</v>
      </c>
      <c r="BE11" s="127">
        <f t="shared" si="107"/>
        <v>977.81</v>
      </c>
      <c r="BF11" s="127" t="str">
        <f>LOOKUP(AQ11,{5,10,15,20,25,30,40,50,60,70,80,90,100,125,150},{"0,000181656","0,000156444","0,000136428","0,000120228","0,000106908","0,000095784","0,00007848","0,000065724","0,000056088","0,000048576","0,000042648","0,00003786","0,000033948","0,0000264","0,00002196"})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11" s="136">
        <f t="shared" si="108"/>
        <v>4.8734473977562104E-7</v>
      </c>
      <c r="BH11" s="127">
        <f t="shared" si="109"/>
        <v>977.81</v>
      </c>
      <c r="BI11" s="127">
        <f t="shared" si="110"/>
        <v>238180.5412743536</v>
      </c>
      <c r="BJ11" s="127">
        <f t="shared" si="111"/>
        <v>2.6979553751762517E-2</v>
      </c>
      <c r="BK11" s="135" t="str">
        <f t="shared" si="112"/>
        <v>0,0269252990527845</v>
      </c>
      <c r="BL11" s="127">
        <f t="shared" si="113"/>
        <v>238180.5412743536</v>
      </c>
      <c r="BM11" s="127">
        <f t="shared" si="114"/>
        <v>5.3769062778756904</v>
      </c>
      <c r="BN11" s="127">
        <f t="shared" si="115"/>
        <v>150000</v>
      </c>
      <c r="BO11" s="127">
        <f t="shared" si="116"/>
        <v>5.1760912590556813</v>
      </c>
      <c r="BP11" s="127">
        <f t="shared" si="117"/>
        <v>2.0387966534532556</v>
      </c>
      <c r="BQ11" s="127">
        <f t="shared" si="118"/>
        <v>2</v>
      </c>
      <c r="BR11" s="127">
        <f t="shared" si="119"/>
        <v>3.0453229787866576</v>
      </c>
      <c r="BS11" s="127">
        <f t="shared" si="120"/>
        <v>4.3769062778756904</v>
      </c>
      <c r="BT11" s="127">
        <f t="shared" si="121"/>
        <v>0</v>
      </c>
      <c r="BU11" s="127">
        <f t="shared" si="122"/>
        <v>0.16418619748477847</v>
      </c>
      <c r="BV11" s="127">
        <f t="shared" si="123"/>
        <v>2.6957107444510676E-2</v>
      </c>
      <c r="BW11" s="127" t="str">
        <f>LOOKUP(AQ11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11" s="137" t="str">
        <f t="shared" si="124"/>
        <v>0,0269252990527845</v>
      </c>
      <c r="BY11" s="127">
        <f t="shared" si="125"/>
        <v>5.36081800510975</v>
      </c>
      <c r="BZ11" s="127">
        <f t="shared" si="126"/>
        <v>52.58962463012665</v>
      </c>
      <c r="CA11" s="127">
        <f t="shared" si="127"/>
        <v>5.4824741055110406</v>
      </c>
      <c r="CB11" s="127">
        <f t="shared" si="128"/>
        <v>0.14254432674328707</v>
      </c>
      <c r="CC11" s="138">
        <f t="shared" si="129"/>
        <v>0.29092707204307999</v>
      </c>
      <c r="CD11" s="139" t="e">
        <f>SUM(#REF!,#REF!,CC11)</f>
        <v>#REF!</v>
      </c>
      <c r="CE11" s="126" t="e">
        <f>#REF!-BB11</f>
        <v>#REF!</v>
      </c>
      <c r="CF11" s="130" t="e">
        <f>#REF!+CB11</f>
        <v>#REF!</v>
      </c>
      <c r="CG11" s="140" t="e">
        <f t="shared" si="130"/>
        <v>#REF!</v>
      </c>
      <c r="CH11" s="141" t="s">
        <v>81</v>
      </c>
      <c r="CI11" s="127" t="e">
        <f t="shared" si="131"/>
        <v>#REF!</v>
      </c>
      <c r="CJ11" s="127" t="s">
        <v>82</v>
      </c>
      <c r="CK11" s="138" t="str">
        <f>LOOKUP((AP11)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11" s="142" t="e">
        <f t="shared" si="132"/>
        <v>#REF!</v>
      </c>
      <c r="CM11" s="126" t="s">
        <v>82</v>
      </c>
      <c r="CN11" s="127" t="str">
        <f>LOOKUP((AQ11)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11" s="130" t="s">
        <v>83</v>
      </c>
      <c r="CP11" s="126">
        <v>22</v>
      </c>
      <c r="CQ11" s="127">
        <v>20.27</v>
      </c>
      <c r="CR11" s="138">
        <f t="shared" si="133"/>
        <v>-1.7300000000000004</v>
      </c>
      <c r="CS11" s="141">
        <v>5.5</v>
      </c>
      <c r="CT11" s="127">
        <f t="shared" si="134"/>
        <v>8.77</v>
      </c>
      <c r="CU11" s="138" t="s">
        <v>90</v>
      </c>
      <c r="CV11" s="127">
        <f t="shared" si="135"/>
        <v>37.730000000000004</v>
      </c>
      <c r="CW11" s="126" t="s">
        <v>82</v>
      </c>
      <c r="CX11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11" s="126">
        <f t="shared" si="136"/>
        <v>0.70685774999999995</v>
      </c>
      <c r="CZ11" s="143" t="e">
        <f t="shared" si="137"/>
        <v>#REF!</v>
      </c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</row>
    <row r="12" spans="1:124" s="164" customFormat="1" ht="16.5" customHeight="1" x14ac:dyDescent="0.25">
      <c r="A12" s="145" t="s">
        <v>94</v>
      </c>
      <c r="B12" s="146"/>
      <c r="C12" s="146"/>
      <c r="D12" s="146"/>
      <c r="E12" s="146"/>
      <c r="F12" s="146"/>
      <c r="G12" s="146"/>
      <c r="H12" s="146"/>
      <c r="I12" s="146"/>
      <c r="J12" s="147"/>
      <c r="K12" s="106"/>
      <c r="L12" s="148"/>
      <c r="M12" s="149"/>
      <c r="N12" s="109"/>
      <c r="O12" s="148"/>
      <c r="P12" s="148"/>
      <c r="Q12" s="148"/>
      <c r="R12" s="148"/>
      <c r="S12" s="148"/>
      <c r="T12" s="148"/>
      <c r="U12" s="148"/>
      <c r="V12" s="148"/>
      <c r="W12" s="150"/>
      <c r="X12" s="151"/>
      <c r="Y12" s="148"/>
      <c r="Z12" s="152"/>
      <c r="AA12" s="152"/>
      <c r="AB12" s="148"/>
      <c r="AC12" s="148"/>
      <c r="AD12" s="153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50"/>
      <c r="AU12" s="150"/>
      <c r="AV12" s="148"/>
      <c r="AW12" s="148"/>
      <c r="AX12" s="150"/>
      <c r="AY12" s="148"/>
      <c r="AZ12" s="148"/>
      <c r="BA12" s="148"/>
      <c r="BB12" s="148"/>
      <c r="BC12" s="148"/>
      <c r="BD12" s="148"/>
      <c r="BE12" s="148"/>
      <c r="BF12" s="148"/>
      <c r="BG12" s="154"/>
      <c r="BH12" s="148"/>
      <c r="BI12" s="148"/>
      <c r="BJ12" s="148"/>
      <c r="BK12" s="153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55"/>
      <c r="BY12" s="148"/>
      <c r="BZ12" s="148"/>
      <c r="CA12" s="148"/>
      <c r="CB12" s="148"/>
      <c r="CC12" s="156"/>
      <c r="CD12" s="157"/>
      <c r="CE12" s="158"/>
      <c r="CF12" s="159"/>
      <c r="CG12" s="160"/>
      <c r="CH12" s="161"/>
      <c r="CI12" s="148"/>
      <c r="CJ12" s="148"/>
      <c r="CK12" s="156"/>
      <c r="CL12" s="162"/>
      <c r="CM12" s="163"/>
      <c r="CN12" s="148"/>
      <c r="CO12" s="149"/>
      <c r="CP12" s="163"/>
      <c r="CQ12" s="148"/>
      <c r="CR12" s="156"/>
      <c r="CS12" s="161"/>
      <c r="CT12" s="148"/>
      <c r="CU12" s="156"/>
      <c r="CV12" s="148"/>
      <c r="CW12" s="163"/>
      <c r="CX12" s="160"/>
      <c r="CY12" s="163"/>
      <c r="DC12" s="165"/>
      <c r="DD12" s="165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65"/>
      <c r="DT12" s="165"/>
    </row>
    <row r="13" spans="1:124" s="101" customFormat="1" ht="16.5" customHeight="1" x14ac:dyDescent="0.25">
      <c r="A13" s="80" t="s">
        <v>88</v>
      </c>
      <c r="B13" s="81" t="s">
        <v>95</v>
      </c>
      <c r="C13" s="82">
        <f>C14+C31</f>
        <v>23.44</v>
      </c>
      <c r="D13" s="82">
        <f>D14+D31</f>
        <v>5.24</v>
      </c>
      <c r="E13" s="82">
        <f t="shared" ref="E13:G13" si="138">E14+E31</f>
        <v>1.1472000000000011</v>
      </c>
      <c r="F13" s="82">
        <f t="shared" si="138"/>
        <v>24.377600000000001</v>
      </c>
      <c r="G13" s="82">
        <f t="shared" si="138"/>
        <v>5.4496000000000002</v>
      </c>
      <c r="H13" s="83">
        <f t="shared" ref="H13:H22" si="139">F13+G13</f>
        <v>29.827200000000001</v>
      </c>
      <c r="I13" s="83">
        <f t="shared" ref="I13:I22" si="140">((F13/(AP13-AQ13))+(G13/(AT13-AU13)))*1000</f>
        <v>852.20571428571429</v>
      </c>
      <c r="J13" s="84">
        <f t="shared" ref="J13:J22" si="141">I13/AS13</f>
        <v>889.21483574961314</v>
      </c>
      <c r="K13" s="85">
        <v>426</v>
      </c>
      <c r="L13" s="83" t="s">
        <v>11</v>
      </c>
      <c r="M13" s="86">
        <v>7</v>
      </c>
      <c r="N13" s="87">
        <v>27</v>
      </c>
      <c r="O13" s="83" t="str">
        <f t="shared" ref="O13:O22" si="142">IF(K13&lt;159,"0,3",IF((K13&gt;159),"0,4","0,3"))</f>
        <v>0,4</v>
      </c>
      <c r="P13" s="83">
        <f t="shared" ref="P13:P22" si="143">N13*(1+O13)</f>
        <v>37.799999999999997</v>
      </c>
      <c r="Q13" s="83">
        <f t="shared" ref="Q13:Q22" si="144">(J13/3600)/R13</f>
        <v>1.852764635367381</v>
      </c>
      <c r="R13" s="83">
        <f t="shared" ref="R13:R22" si="145">(3.14159*AW13^2)/4</f>
        <v>0.13331651323999999</v>
      </c>
      <c r="S13" s="83" t="str">
        <f t="shared" ref="S13:S22" si="146">IF(T13="сталь","0,0005",IF((T13="изола"),"0,000007"))</f>
        <v>0,0005</v>
      </c>
      <c r="T13" s="83" t="s">
        <v>79</v>
      </c>
      <c r="U13" s="83" t="s">
        <v>80</v>
      </c>
      <c r="V13" s="83">
        <f t="shared" ref="V13:V22" si="147">Y13</f>
        <v>958.38</v>
      </c>
      <c r="W13" s="88" t="str">
        <f>LOOKUP(AP13,{5,10,15,20,25,30,40,50,60,70,80,90,100,125,150},{"0,000181656","0,000156444","0,000136428","0,000120228","0,000106908","0,000095784","0,00007848","0,000065724","0,000056088","0,000048576","0,000042648","0,00003786","0,000033948","0,0000264","0,00002196"})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13" s="89">
        <f t="shared" ref="X13:X22" si="148">(W13*9.81)/V13</f>
        <v>3.4749251862518006E-7</v>
      </c>
      <c r="Y13" s="83">
        <f t="shared" ref="Y13:Y22" si="149">AS13*1000</f>
        <v>958.38</v>
      </c>
      <c r="Z13" s="90">
        <f t="shared" ref="Z13:Z22" si="150">(Q13*AW13)/X13</f>
        <v>2196706.3716693432</v>
      </c>
      <c r="AA13" s="90">
        <f t="shared" ref="AA13:AA22" si="151">560*AW13/S13</f>
        <v>461440</v>
      </c>
      <c r="AB13" s="83">
        <f t="shared" ref="AB13:AB22" si="152">0.11*(((S13/AW13)+(68/Z13))^0.25)</f>
        <v>2.0660725560836E-2</v>
      </c>
      <c r="AC13" s="83">
        <f t="shared" ref="AC13:AC22" si="153">1/(1.14+2*LOG(AW13/S13))^2</f>
        <v>2.0573272552247869E-2</v>
      </c>
      <c r="AD13" s="91" t="str">
        <f t="shared" ref="AD13:AD22" si="154">IF(Z13&lt;AA13,""&amp;AB13,IF((Z13&gt;AA13),""&amp;AC13))</f>
        <v>0,0205732725522479</v>
      </c>
      <c r="AE13" s="83">
        <f t="shared" ref="AE13:AE22" si="155">(Q13*AW13)/X13</f>
        <v>2196706.3716693432</v>
      </c>
      <c r="AF13" s="83">
        <f t="shared" ref="AF13:AF22" si="156">LOG10(AE13)</f>
        <v>6.3417720097261201</v>
      </c>
      <c r="AG13" s="83">
        <f t="shared" ref="AG13:AG22" si="157">(500*AW13)/S13</f>
        <v>412000</v>
      </c>
      <c r="AH13" s="83">
        <f t="shared" ref="AH13:AH22" si="158">LOG10(AG13)</f>
        <v>5.6148972160331345</v>
      </c>
      <c r="AI13" s="83">
        <f t="shared" ref="AI13:AI22" si="159">(AF13/AH13)+1</f>
        <v>2.1294546927087854</v>
      </c>
      <c r="AJ13" s="83">
        <f t="shared" ref="AJ13:AJ22" si="160">IF(AI13&gt;2,2,AI13)</f>
        <v>2</v>
      </c>
      <c r="AK13" s="83">
        <f t="shared" ref="AK13:AK22" si="161">LOG10((3.7*AW13)/S13)</f>
        <v>3.4841289357641108</v>
      </c>
      <c r="AL13" s="83">
        <f t="shared" ref="AL13:AL22" si="162">AF13-1</f>
        <v>5.3417720097261201</v>
      </c>
      <c r="AM13" s="83">
        <f t="shared" ref="AM13:AM22" si="163">(1.312*(2-AJ13)*AK13)/AL13</f>
        <v>0</v>
      </c>
      <c r="AN13" s="83">
        <f t="shared" ref="AN13:AN22" si="164">(0.5*((AJ13/2)+AM13))/AK13</f>
        <v>0.1435078922790623</v>
      </c>
      <c r="AO13" s="83">
        <f t="shared" ref="AO13:AO22" si="165">AN13*AN13</f>
        <v>2.0594515146378948E-2</v>
      </c>
      <c r="AP13" s="83">
        <v>105</v>
      </c>
      <c r="AQ13" s="83">
        <v>70</v>
      </c>
      <c r="AR13" s="83">
        <f t="shared" ref="AR13:AR22" si="166">AP13-AQ13</f>
        <v>35</v>
      </c>
      <c r="AS13" s="83" t="str">
        <f>LOOKUP(AP13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13" s="88">
        <v>105</v>
      </c>
      <c r="AU13" s="88">
        <v>70</v>
      </c>
      <c r="AV13" s="83">
        <f t="shared" ref="AV13:AV22" si="167">AT13-AU13</f>
        <v>35</v>
      </c>
      <c r="AW13" s="83">
        <f t="shared" ref="AW13:AW22" si="168">(K13-(M13*2))/1000</f>
        <v>0.41199999999999998</v>
      </c>
      <c r="AX13" s="88" t="str">
        <f t="shared" ref="AX13:AX22" si="169">IF(T13="изола",AO13,AD13)</f>
        <v>0,0205732725522479</v>
      </c>
      <c r="AY13" s="83">
        <f t="shared" ref="AY13:AY22" si="170">(0.00638*AX13*(I13^2))/((AW13^5)*V13)</f>
        <v>8.3789407615943734</v>
      </c>
      <c r="AZ13" s="83">
        <f t="shared" ref="AZ13:AZ22" si="171">AY13*9.81</f>
        <v>82.19740887124081</v>
      </c>
      <c r="BA13" s="83">
        <f t="shared" ref="BA13:BA22" si="172">(AZ13/9.81/Y13)*1000</f>
        <v>8.7428167966718551</v>
      </c>
      <c r="BB13" s="83">
        <f t="shared" ref="BB13:BB22" si="173">BA13*P13/1000</f>
        <v>0.33047847491419613</v>
      </c>
      <c r="BC13" s="83">
        <f t="shared" ref="BC13:BC22" si="174">I13/BW13</f>
        <v>871.54530459467003</v>
      </c>
      <c r="BD13" s="83">
        <f t="shared" ref="BD13:BD22" si="175">(BC13/3600)/R13</f>
        <v>1.815948467742599</v>
      </c>
      <c r="BE13" s="83">
        <f t="shared" ref="BE13:BE22" si="176">BH13</f>
        <v>977.81</v>
      </c>
      <c r="BF13" s="83" t="str">
        <f>LOOKUP(AQ13,{5,10,15,20,25,30,40,50,60,70,80,90,100,125,150},{"0,000181656","0,000156444","0,000136428","0,000120228","0,000106908","0,000095784","0,00007848","0,000065724","0,000056088","0,000048576","0,000042648","0,00003786","0,000033948","0,0000264","0,00002196"})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13" s="92">
        <f t="shared" ref="BG13:BG22" si="177">(BF13*9.81)/BE13</f>
        <v>4.8734473977562104E-7</v>
      </c>
      <c r="BH13" s="83">
        <f t="shared" ref="BH13:BH22" si="178">BW13*1000</f>
        <v>977.81</v>
      </c>
      <c r="BI13" s="83">
        <f t="shared" ref="BI13:BI22" si="179">(BD13*AW13)/BG13</f>
        <v>1535198.2029280071</v>
      </c>
      <c r="BJ13" s="83">
        <f t="shared" ref="BJ13:BJ22" si="180">0.11*(((S13/AW13)+(68/BI13))^0.25)</f>
        <v>2.0715862619637468E-2</v>
      </c>
      <c r="BK13" s="91" t="str">
        <f t="shared" ref="BK13:BK22" si="181">IF(BI13&lt;AA13,""&amp;BJ13,IF((BI13&gt;AA13),""&amp;AC13))</f>
        <v>0,0205732725522479</v>
      </c>
      <c r="BL13" s="83">
        <f t="shared" ref="BL13:BL22" si="182">(BD13*AW13)/BG13</f>
        <v>1535198.2029280071</v>
      </c>
      <c r="BM13" s="83">
        <f t="shared" ref="BM13:BM22" si="183">LOG10(BL13)</f>
        <v>6.1861644533513687</v>
      </c>
      <c r="BN13" s="83">
        <f t="shared" ref="BN13:BN22" si="184">(500*AW13)/S13</f>
        <v>412000</v>
      </c>
      <c r="BO13" s="83">
        <f t="shared" ref="BO13:BO22" si="185">LOG10(BN13)</f>
        <v>5.6148972160331345</v>
      </c>
      <c r="BP13" s="83">
        <f t="shared" ref="BP13:BP22" si="186">(BM13/BO13)+1</f>
        <v>2.1017413525731161</v>
      </c>
      <c r="BQ13" s="83">
        <f t="shared" ref="BQ13:BQ22" si="187">IF(BP13&gt;2,2,BP13)</f>
        <v>2</v>
      </c>
      <c r="BR13" s="83">
        <f t="shared" ref="BR13:BR22" si="188">LOG10((3.7*AW13)/S13)</f>
        <v>3.4841289357641108</v>
      </c>
      <c r="BS13" s="83">
        <f t="shared" ref="BS13:BS22" si="189">BM13-1</f>
        <v>5.1861644533513687</v>
      </c>
      <c r="BT13" s="83">
        <f t="shared" ref="BT13:BT22" si="190">(1.312*(2-BQ13)*BR13)/BS13</f>
        <v>0</v>
      </c>
      <c r="BU13" s="83">
        <f t="shared" ref="BU13:BU22" si="191">(0.5*((BQ13/2)+BT13))/BR13</f>
        <v>0.1435078922790623</v>
      </c>
      <c r="BV13" s="83">
        <f t="shared" ref="BV13:BV22" si="192">BU13*BU13</f>
        <v>2.0594515146378948E-2</v>
      </c>
      <c r="BW13" s="83" t="str">
        <f>LOOKUP(AQ13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13" s="93" t="str">
        <f t="shared" ref="BX13:BX22" si="193">IF(T13="изола",BV13,BK13)</f>
        <v>0,0205732725522479</v>
      </c>
      <c r="BY13" s="83">
        <f t="shared" ref="BY13:BY22" si="194">(0.00638*BX13*(I13^2))/((AW13^5)*BE13)</f>
        <v>8.2124433653744759</v>
      </c>
      <c r="BZ13" s="83">
        <f t="shared" ref="BZ13:BZ22" si="195">BY13*9.81</f>
        <v>80.564069414323612</v>
      </c>
      <c r="CA13" s="83">
        <f t="shared" ref="CA13:CA22" si="196">(BZ13/9.81/BH13)*1000</f>
        <v>8.3988130264309806</v>
      </c>
      <c r="CB13" s="83">
        <f t="shared" ref="CB13:CB22" si="197">CA13*P13/1000</f>
        <v>0.31747513239909103</v>
      </c>
      <c r="CC13" s="94">
        <f t="shared" ref="CC13:CC22" si="198">BB13+CB13</f>
        <v>0.64795360731328722</v>
      </c>
      <c r="CD13" s="95"/>
      <c r="CE13" s="82" t="e">
        <f>#REF!-BB13</f>
        <v>#REF!</v>
      </c>
      <c r="CF13" s="86" t="e">
        <f>#REF!+CB13</f>
        <v>#REF!</v>
      </c>
      <c r="CG13" s="98" t="e">
        <f t="shared" ref="CG13:CG22" si="199">CE13-CF13</f>
        <v>#REF!</v>
      </c>
      <c r="CH13" s="99" t="s">
        <v>86</v>
      </c>
      <c r="CI13" s="83" t="e">
        <f t="shared" ref="CI13:CI22" si="200">CE13-CR13</f>
        <v>#REF!</v>
      </c>
      <c r="CJ13" s="83" t="s">
        <v>82</v>
      </c>
      <c r="CK13" s="94" t="str">
        <f>LOOKUP((AP13)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13" s="100" t="e">
        <f t="shared" ref="CL13:CL22" si="201">CF13-CR13</f>
        <v>#REF!</v>
      </c>
      <c r="CM13" s="82" t="s">
        <v>82</v>
      </c>
      <c r="CN13" s="83" t="str">
        <f>LOOKUP((AQ13)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13" s="86" t="s">
        <v>83</v>
      </c>
      <c r="CP13" s="82">
        <v>22</v>
      </c>
      <c r="CQ13" s="83">
        <v>22.6</v>
      </c>
      <c r="CR13" s="94">
        <f t="shared" ref="CR13:CR22" si="202">CQ13-CP13</f>
        <v>0.60000000000000142</v>
      </c>
      <c r="CS13" s="99"/>
      <c r="CT13" s="83"/>
      <c r="CU13" s="94"/>
      <c r="CV13" s="83"/>
      <c r="CW13" s="82"/>
      <c r="CX13" s="98"/>
      <c r="CY13" s="82">
        <f t="shared" ref="CY13:CY22" si="203">N13*R13*2</f>
        <v>7.1990917149599998</v>
      </c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</row>
    <row r="14" spans="1:124" s="101" customFormat="1" ht="16.5" customHeight="1" x14ac:dyDescent="0.25">
      <c r="A14" s="80" t="s">
        <v>95</v>
      </c>
      <c r="B14" s="81" t="s">
        <v>96</v>
      </c>
      <c r="C14" s="82">
        <f>C15+C43</f>
        <v>17.330000000000002</v>
      </c>
      <c r="D14" s="82">
        <f>D15+D43</f>
        <v>3.87</v>
      </c>
      <c r="E14" s="83">
        <f t="shared" ref="E14:E22" si="204">(F14-C14)+(G14-D14)</f>
        <v>0.84800000000000075</v>
      </c>
      <c r="F14" s="83">
        <f t="shared" ref="F14:G22" si="205">C14*1.04</f>
        <v>18.023200000000003</v>
      </c>
      <c r="G14" s="83">
        <f t="shared" si="205"/>
        <v>4.0247999999999999</v>
      </c>
      <c r="H14" s="83">
        <f t="shared" si="139"/>
        <v>22.048000000000002</v>
      </c>
      <c r="I14" s="83">
        <f t="shared" si="140"/>
        <v>629.94285714285729</v>
      </c>
      <c r="J14" s="84">
        <f t="shared" si="141"/>
        <v>657.29966938255939</v>
      </c>
      <c r="K14" s="85">
        <v>377</v>
      </c>
      <c r="L14" s="83" t="s">
        <v>11</v>
      </c>
      <c r="M14" s="86">
        <v>7</v>
      </c>
      <c r="N14" s="87">
        <v>164</v>
      </c>
      <c r="O14" s="83" t="str">
        <f t="shared" si="142"/>
        <v>0,4</v>
      </c>
      <c r="P14" s="83">
        <f t="shared" si="143"/>
        <v>229.6</v>
      </c>
      <c r="Q14" s="83">
        <f t="shared" si="144"/>
        <v>1.7642419661574236</v>
      </c>
      <c r="R14" s="83">
        <f t="shared" si="145"/>
        <v>0.10349104317749999</v>
      </c>
      <c r="S14" s="83" t="str">
        <f t="shared" si="146"/>
        <v>0,0005</v>
      </c>
      <c r="T14" s="83" t="s">
        <v>79</v>
      </c>
      <c r="U14" s="83" t="s">
        <v>80</v>
      </c>
      <c r="V14" s="83">
        <f t="shared" si="147"/>
        <v>958.38</v>
      </c>
      <c r="W14" s="88" t="str">
        <f>LOOKUP(AP14,{5,10,15,20,25,30,40,50,60,70,80,90,100,125,150},{"0,000181656","0,000156444","0,000136428","0,000120228","0,000106908","0,000095784","0,00007848","0,000065724","0,000056088","0,000048576","0,000042648","0,00003786","0,000033948","0,0000264","0,00002196"})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14" s="89">
        <f t="shared" si="148"/>
        <v>3.4749251862518006E-7</v>
      </c>
      <c r="Y14" s="83">
        <f t="shared" si="149"/>
        <v>958.38</v>
      </c>
      <c r="Z14" s="90">
        <f t="shared" si="150"/>
        <v>1842974.4509289085</v>
      </c>
      <c r="AA14" s="90">
        <f t="shared" si="151"/>
        <v>406560</v>
      </c>
      <c r="AB14" s="83">
        <f t="shared" si="152"/>
        <v>2.1331855557503367E-2</v>
      </c>
      <c r="AC14" s="83">
        <f t="shared" si="153"/>
        <v>2.1238048965498253E-2</v>
      </c>
      <c r="AD14" s="91" t="str">
        <f t="shared" si="154"/>
        <v>0,0212380489654983</v>
      </c>
      <c r="AE14" s="83">
        <f t="shared" si="155"/>
        <v>1842974.4509289085</v>
      </c>
      <c r="AF14" s="83">
        <f t="shared" si="156"/>
        <v>6.2655193146561317</v>
      </c>
      <c r="AG14" s="83">
        <f t="shared" si="157"/>
        <v>363000</v>
      </c>
      <c r="AH14" s="83">
        <f t="shared" si="158"/>
        <v>5.5599066250361124</v>
      </c>
      <c r="AI14" s="83">
        <f t="shared" si="159"/>
        <v>2.1269108884747565</v>
      </c>
      <c r="AJ14" s="83">
        <f t="shared" si="160"/>
        <v>2</v>
      </c>
      <c r="AK14" s="83">
        <f t="shared" si="161"/>
        <v>3.4291383447670887</v>
      </c>
      <c r="AL14" s="83">
        <f t="shared" si="162"/>
        <v>5.2655193146561317</v>
      </c>
      <c r="AM14" s="83">
        <f t="shared" si="163"/>
        <v>0</v>
      </c>
      <c r="AN14" s="83">
        <f t="shared" si="164"/>
        <v>0.14580922369696944</v>
      </c>
      <c r="AO14" s="83">
        <f t="shared" si="165"/>
        <v>2.1260329715112877E-2</v>
      </c>
      <c r="AP14" s="83">
        <v>105</v>
      </c>
      <c r="AQ14" s="83">
        <v>70</v>
      </c>
      <c r="AR14" s="83">
        <f t="shared" si="166"/>
        <v>35</v>
      </c>
      <c r="AS14" s="83" t="str">
        <f>LOOKUP(AP14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14" s="88">
        <v>105</v>
      </c>
      <c r="AU14" s="88">
        <v>70</v>
      </c>
      <c r="AV14" s="83">
        <f t="shared" si="167"/>
        <v>35</v>
      </c>
      <c r="AW14" s="83">
        <f t="shared" si="168"/>
        <v>0.36299999999999999</v>
      </c>
      <c r="AX14" s="88" t="str">
        <f t="shared" si="169"/>
        <v>0,0212380489654983</v>
      </c>
      <c r="AY14" s="83">
        <f t="shared" si="170"/>
        <v>8.9015726567767679</v>
      </c>
      <c r="AZ14" s="83">
        <f t="shared" si="171"/>
        <v>87.324427762980093</v>
      </c>
      <c r="BA14" s="83">
        <f t="shared" si="172"/>
        <v>9.2881452626064487</v>
      </c>
      <c r="BB14" s="83">
        <f t="shared" si="173"/>
        <v>2.1325581522944406</v>
      </c>
      <c r="BC14" s="83">
        <f t="shared" si="174"/>
        <v>644.23850967248984</v>
      </c>
      <c r="BD14" s="83">
        <f t="shared" si="175"/>
        <v>1.7291848268333843</v>
      </c>
      <c r="BE14" s="83">
        <f t="shared" si="176"/>
        <v>977.81</v>
      </c>
      <c r="BF14" s="83" t="str">
        <f>LOOKUP(AQ14,{5,10,15,20,25,30,40,50,60,70,80,90,100,125,150},{"0,000181656","0,000156444","0,000136428","0,000120228","0,000106908","0,000095784","0,00007848","0,000065724","0,000056088","0,000048576","0,000042648","0,00003786","0,000033948","0,0000264","0,00002196"})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14" s="92">
        <f t="shared" si="177"/>
        <v>4.8734473977562104E-7</v>
      </c>
      <c r="BH14" s="83">
        <f t="shared" si="178"/>
        <v>977.81</v>
      </c>
      <c r="BI14" s="83">
        <f t="shared" si="179"/>
        <v>1287987.8265014533</v>
      </c>
      <c r="BJ14" s="83">
        <f t="shared" si="180"/>
        <v>2.1391553935730775E-2</v>
      </c>
      <c r="BK14" s="91" t="str">
        <f t="shared" si="181"/>
        <v>0,0212380489654983</v>
      </c>
      <c r="BL14" s="83">
        <f t="shared" si="182"/>
        <v>1287987.8265014533</v>
      </c>
      <c r="BM14" s="83">
        <f t="shared" si="183"/>
        <v>6.1099117582813793</v>
      </c>
      <c r="BN14" s="83">
        <f t="shared" si="184"/>
        <v>363000</v>
      </c>
      <c r="BO14" s="83">
        <f t="shared" si="185"/>
        <v>5.5599066250361124</v>
      </c>
      <c r="BP14" s="83">
        <f t="shared" si="186"/>
        <v>2.0989234478810506</v>
      </c>
      <c r="BQ14" s="83">
        <f t="shared" si="187"/>
        <v>2</v>
      </c>
      <c r="BR14" s="83">
        <f t="shared" si="188"/>
        <v>3.4291383447670887</v>
      </c>
      <c r="BS14" s="83">
        <f t="shared" si="189"/>
        <v>5.1099117582813793</v>
      </c>
      <c r="BT14" s="83">
        <f t="shared" si="190"/>
        <v>0</v>
      </c>
      <c r="BU14" s="83">
        <f t="shared" si="191"/>
        <v>0.14580922369696944</v>
      </c>
      <c r="BV14" s="83">
        <f t="shared" si="192"/>
        <v>2.1260329715112877E-2</v>
      </c>
      <c r="BW14" s="83" t="str">
        <f>LOOKUP(AQ14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14" s="93" t="str">
        <f t="shared" si="193"/>
        <v>0,0212380489654983</v>
      </c>
      <c r="BY14" s="83">
        <f t="shared" si="194"/>
        <v>8.724690075578815</v>
      </c>
      <c r="BZ14" s="83">
        <f t="shared" si="195"/>
        <v>85.589209641428184</v>
      </c>
      <c r="CA14" s="83">
        <f t="shared" si="196"/>
        <v>8.92268444337736</v>
      </c>
      <c r="CB14" s="83">
        <f t="shared" si="197"/>
        <v>2.0486483481994417</v>
      </c>
      <c r="CC14" s="94">
        <f t="shared" si="198"/>
        <v>4.1812065004938823</v>
      </c>
      <c r="CD14" s="95"/>
      <c r="CE14" s="82" t="e">
        <f>#REF!-BB14</f>
        <v>#REF!</v>
      </c>
      <c r="CF14" s="86" t="e">
        <f>#REF!+CB14</f>
        <v>#REF!</v>
      </c>
      <c r="CG14" s="98" t="e">
        <f t="shared" si="199"/>
        <v>#REF!</v>
      </c>
      <c r="CH14" s="99" t="s">
        <v>86</v>
      </c>
      <c r="CI14" s="83" t="e">
        <f t="shared" si="200"/>
        <v>#REF!</v>
      </c>
      <c r="CJ14" s="83" t="s">
        <v>82</v>
      </c>
      <c r="CK14" s="94" t="str">
        <f>LOOKUP((AP14)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14" s="100" t="e">
        <f t="shared" si="201"/>
        <v>#REF!</v>
      </c>
      <c r="CM14" s="82" t="s">
        <v>82</v>
      </c>
      <c r="CN14" s="83" t="str">
        <f>LOOKUP((AQ14)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14" s="86" t="s">
        <v>83</v>
      </c>
      <c r="CP14" s="82">
        <v>22</v>
      </c>
      <c r="CQ14" s="83">
        <v>22.6</v>
      </c>
      <c r="CR14" s="94">
        <f t="shared" si="202"/>
        <v>0.60000000000000142</v>
      </c>
      <c r="CS14" s="99"/>
      <c r="CT14" s="83"/>
      <c r="CU14" s="94"/>
      <c r="CV14" s="83"/>
      <c r="CW14" s="82"/>
      <c r="CX14" s="98"/>
      <c r="CY14" s="82">
        <f t="shared" si="203"/>
        <v>33.945062162219998</v>
      </c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</row>
    <row r="15" spans="1:124" s="101" customFormat="1" ht="16.5" customHeight="1" x14ac:dyDescent="0.25">
      <c r="A15" s="80" t="s">
        <v>96</v>
      </c>
      <c r="B15" s="81" t="s">
        <v>97</v>
      </c>
      <c r="C15" s="82">
        <f>C16+C47</f>
        <v>7.78</v>
      </c>
      <c r="D15" s="82">
        <f>D16+D47</f>
        <v>1.64</v>
      </c>
      <c r="E15" s="83">
        <f t="shared" si="204"/>
        <v>0.37680000000000047</v>
      </c>
      <c r="F15" s="83">
        <f t="shared" si="205"/>
        <v>8.0912000000000006</v>
      </c>
      <c r="G15" s="83">
        <f t="shared" si="205"/>
        <v>1.7056</v>
      </c>
      <c r="H15" s="83">
        <f t="shared" si="139"/>
        <v>9.7968000000000011</v>
      </c>
      <c r="I15" s="83">
        <f t="shared" si="140"/>
        <v>279.90857142857146</v>
      </c>
      <c r="J15" s="84">
        <f t="shared" si="141"/>
        <v>292.06428705583534</v>
      </c>
      <c r="K15" s="85">
        <v>273</v>
      </c>
      <c r="L15" s="83" t="s">
        <v>11</v>
      </c>
      <c r="M15" s="86">
        <v>6</v>
      </c>
      <c r="N15" s="87">
        <v>59</v>
      </c>
      <c r="O15" s="83" t="str">
        <f t="shared" si="142"/>
        <v>0,4</v>
      </c>
      <c r="P15" s="83">
        <f t="shared" si="143"/>
        <v>82.6</v>
      </c>
      <c r="Q15" s="83">
        <f t="shared" si="144"/>
        <v>1.5163708449667592</v>
      </c>
      <c r="R15" s="83">
        <f t="shared" si="145"/>
        <v>5.3502063097499997E-2</v>
      </c>
      <c r="S15" s="83" t="str">
        <f t="shared" si="146"/>
        <v>0,0005</v>
      </c>
      <c r="T15" s="83" t="s">
        <v>79</v>
      </c>
      <c r="U15" s="83" t="s">
        <v>80</v>
      </c>
      <c r="V15" s="83">
        <f t="shared" si="147"/>
        <v>958.38</v>
      </c>
      <c r="W15" s="88" t="str">
        <f>LOOKUP(AP15,{5,10,15,20,25,30,40,50,60,70,80,90,100,125,150},{"0,000181656","0,000156444","0,000136428","0,000120228","0,000106908","0,000095784","0,00007848","0,000065724","0,000056088","0,000048576","0,000042648","0,00003786","0,000033948","0,0000264","0,00002196"})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15" s="89">
        <f t="shared" si="148"/>
        <v>3.4749251862518006E-7</v>
      </c>
      <c r="Y15" s="83">
        <f t="shared" si="149"/>
        <v>958.38</v>
      </c>
      <c r="Z15" s="90">
        <f t="shared" si="150"/>
        <v>1138939.0255138737</v>
      </c>
      <c r="AA15" s="90">
        <f t="shared" si="151"/>
        <v>292320</v>
      </c>
      <c r="AB15" s="83">
        <f t="shared" si="152"/>
        <v>2.3190343928491182E-2</v>
      </c>
      <c r="AC15" s="83">
        <f t="shared" si="153"/>
        <v>2.3129350547369202E-2</v>
      </c>
      <c r="AD15" s="91" t="str">
        <f t="shared" si="154"/>
        <v>0,0231293505473692</v>
      </c>
      <c r="AE15" s="83">
        <f t="shared" si="155"/>
        <v>1138939.0255138737</v>
      </c>
      <c r="AF15" s="83">
        <f t="shared" si="156"/>
        <v>6.0565004742180886</v>
      </c>
      <c r="AG15" s="83">
        <f t="shared" si="157"/>
        <v>261000</v>
      </c>
      <c r="AH15" s="83">
        <f t="shared" si="158"/>
        <v>5.4166405073382808</v>
      </c>
      <c r="AI15" s="83">
        <f t="shared" si="159"/>
        <v>2.1181285643773009</v>
      </c>
      <c r="AJ15" s="83">
        <f t="shared" si="160"/>
        <v>2</v>
      </c>
      <c r="AK15" s="83">
        <f t="shared" si="161"/>
        <v>3.2858722270692571</v>
      </c>
      <c r="AL15" s="83">
        <f t="shared" si="162"/>
        <v>5.0565004742180886</v>
      </c>
      <c r="AM15" s="83">
        <f t="shared" si="163"/>
        <v>0</v>
      </c>
      <c r="AN15" s="83">
        <f t="shared" si="164"/>
        <v>0.15216659853081421</v>
      </c>
      <c r="AO15" s="83">
        <f t="shared" si="165"/>
        <v>2.3154673708437989E-2</v>
      </c>
      <c r="AP15" s="83">
        <v>105</v>
      </c>
      <c r="AQ15" s="83">
        <v>70</v>
      </c>
      <c r="AR15" s="83">
        <f t="shared" si="166"/>
        <v>35</v>
      </c>
      <c r="AS15" s="83" t="str">
        <f>LOOKUP(AP15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15" s="88">
        <v>105</v>
      </c>
      <c r="AU15" s="88">
        <v>70</v>
      </c>
      <c r="AV15" s="83">
        <f t="shared" si="167"/>
        <v>35</v>
      </c>
      <c r="AW15" s="83">
        <f t="shared" si="168"/>
        <v>0.26100000000000001</v>
      </c>
      <c r="AX15" s="88" t="str">
        <f t="shared" si="169"/>
        <v>0,0231293505473692</v>
      </c>
      <c r="AY15" s="83">
        <f t="shared" si="170"/>
        <v>9.9603874815547098</v>
      </c>
      <c r="AZ15" s="83">
        <f t="shared" si="171"/>
        <v>97.711401194051703</v>
      </c>
      <c r="BA15" s="83">
        <f t="shared" si="172"/>
        <v>10.392941715764843</v>
      </c>
      <c r="BB15" s="83">
        <f t="shared" si="173"/>
        <v>0.85845698572217599</v>
      </c>
      <c r="BC15" s="83">
        <f t="shared" si="174"/>
        <v>286.26069627900256</v>
      </c>
      <c r="BD15" s="83">
        <f t="shared" si="175"/>
        <v>1.4862391368458521</v>
      </c>
      <c r="BE15" s="83">
        <f t="shared" si="176"/>
        <v>977.81</v>
      </c>
      <c r="BF15" s="83" t="str">
        <f>LOOKUP(AQ15,{5,10,15,20,25,30,40,50,60,70,80,90,100,125,150},{"0,000181656","0,000156444","0,000136428","0,000120228","0,000106908","0,000095784","0,00007848","0,000065724","0,000056088","0,000048576","0,000042648","0,00003786","0,000033948","0,0000264","0,00002196"})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15" s="92">
        <f t="shared" si="177"/>
        <v>4.8734473977562104E-7</v>
      </c>
      <c r="BH15" s="83">
        <f t="shared" si="178"/>
        <v>977.81</v>
      </c>
      <c r="BI15" s="83">
        <f t="shared" si="179"/>
        <v>795963.0689670823</v>
      </c>
      <c r="BJ15" s="83">
        <f t="shared" si="180"/>
        <v>2.3265481689294085E-2</v>
      </c>
      <c r="BK15" s="91" t="str">
        <f t="shared" si="181"/>
        <v>0,0231293505473692</v>
      </c>
      <c r="BL15" s="83">
        <f t="shared" si="182"/>
        <v>795963.0689670823</v>
      </c>
      <c r="BM15" s="83">
        <f t="shared" si="183"/>
        <v>5.9008929178433371</v>
      </c>
      <c r="BN15" s="83">
        <f t="shared" si="184"/>
        <v>261000</v>
      </c>
      <c r="BO15" s="83">
        <f t="shared" si="185"/>
        <v>5.4166405073382808</v>
      </c>
      <c r="BP15" s="83">
        <f t="shared" si="186"/>
        <v>2.0894008767702061</v>
      </c>
      <c r="BQ15" s="83">
        <f t="shared" si="187"/>
        <v>2</v>
      </c>
      <c r="BR15" s="83">
        <f t="shared" si="188"/>
        <v>3.2858722270692571</v>
      </c>
      <c r="BS15" s="83">
        <f t="shared" si="189"/>
        <v>4.9008929178433371</v>
      </c>
      <c r="BT15" s="83">
        <f t="shared" si="190"/>
        <v>0</v>
      </c>
      <c r="BU15" s="83">
        <f t="shared" si="191"/>
        <v>0.15216659853081421</v>
      </c>
      <c r="BV15" s="83">
        <f t="shared" si="192"/>
        <v>2.3154673708437989E-2</v>
      </c>
      <c r="BW15" s="83" t="str">
        <f>LOOKUP(AQ15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15" s="93" t="str">
        <f t="shared" si="193"/>
        <v>0,0231293505473692</v>
      </c>
      <c r="BY15" s="83">
        <f t="shared" si="194"/>
        <v>9.7624652586621146</v>
      </c>
      <c r="BZ15" s="83">
        <f t="shared" si="195"/>
        <v>95.769784187475352</v>
      </c>
      <c r="CA15" s="83">
        <f t="shared" si="196"/>
        <v>9.9840104505600422</v>
      </c>
      <c r="CB15" s="83">
        <f t="shared" si="197"/>
        <v>0.8246792632162594</v>
      </c>
      <c r="CC15" s="94">
        <f t="shared" si="198"/>
        <v>1.6831362489384354</v>
      </c>
      <c r="CD15" s="95"/>
      <c r="CE15" s="82" t="e">
        <f>#REF!-BB15</f>
        <v>#REF!</v>
      </c>
      <c r="CF15" s="86" t="e">
        <f>#REF!+CB15</f>
        <v>#REF!</v>
      </c>
      <c r="CG15" s="98" t="e">
        <f t="shared" si="199"/>
        <v>#REF!</v>
      </c>
      <c r="CH15" s="99" t="s">
        <v>86</v>
      </c>
      <c r="CI15" s="83" t="e">
        <f t="shared" si="200"/>
        <v>#REF!</v>
      </c>
      <c r="CJ15" s="83" t="s">
        <v>82</v>
      </c>
      <c r="CK15" s="94" t="str">
        <f>LOOKUP((AP15)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15" s="100" t="e">
        <f t="shared" si="201"/>
        <v>#REF!</v>
      </c>
      <c r="CM15" s="82" t="s">
        <v>82</v>
      </c>
      <c r="CN15" s="83" t="str">
        <f>LOOKUP((AQ15)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15" s="86" t="s">
        <v>83</v>
      </c>
      <c r="CP15" s="82">
        <v>22</v>
      </c>
      <c r="CQ15" s="83">
        <v>22.6</v>
      </c>
      <c r="CR15" s="94">
        <f t="shared" si="202"/>
        <v>0.60000000000000142</v>
      </c>
      <c r="CS15" s="99"/>
      <c r="CT15" s="83"/>
      <c r="CU15" s="94"/>
      <c r="CV15" s="83"/>
      <c r="CW15" s="82"/>
      <c r="CX15" s="98"/>
      <c r="CY15" s="82">
        <f t="shared" si="203"/>
        <v>6.3132434455049999</v>
      </c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</row>
    <row r="16" spans="1:124" s="101" customFormat="1" ht="16.5" customHeight="1" x14ac:dyDescent="0.25">
      <c r="A16" s="80" t="s">
        <v>97</v>
      </c>
      <c r="B16" s="81" t="s">
        <v>98</v>
      </c>
      <c r="C16" s="82">
        <f>C17+C29</f>
        <v>6.42</v>
      </c>
      <c r="D16" s="82">
        <f>D17+D29</f>
        <v>1.48</v>
      </c>
      <c r="E16" s="83">
        <f t="shared" si="204"/>
        <v>0.31600000000000028</v>
      </c>
      <c r="F16" s="83">
        <f t="shared" si="205"/>
        <v>6.6768000000000001</v>
      </c>
      <c r="G16" s="83">
        <f t="shared" si="205"/>
        <v>1.5392000000000001</v>
      </c>
      <c r="H16" s="83">
        <f t="shared" si="139"/>
        <v>8.2160000000000011</v>
      </c>
      <c r="I16" s="83">
        <f t="shared" si="140"/>
        <v>234.74285714285713</v>
      </c>
      <c r="J16" s="84">
        <f t="shared" si="141"/>
        <v>244.93714094916123</v>
      </c>
      <c r="K16" s="85">
        <v>273</v>
      </c>
      <c r="L16" s="83" t="s">
        <v>11</v>
      </c>
      <c r="M16" s="86">
        <v>6</v>
      </c>
      <c r="N16" s="87">
        <v>56</v>
      </c>
      <c r="O16" s="83" t="str">
        <f t="shared" si="142"/>
        <v>0,4</v>
      </c>
      <c r="P16" s="83">
        <f t="shared" si="143"/>
        <v>78.399999999999991</v>
      </c>
      <c r="Q16" s="83">
        <f t="shared" si="144"/>
        <v>1.2716910483266872</v>
      </c>
      <c r="R16" s="83">
        <f t="shared" si="145"/>
        <v>5.3502063097499997E-2</v>
      </c>
      <c r="S16" s="83" t="str">
        <f t="shared" si="146"/>
        <v>0,0005</v>
      </c>
      <c r="T16" s="83" t="s">
        <v>79</v>
      </c>
      <c r="U16" s="83" t="s">
        <v>80</v>
      </c>
      <c r="V16" s="83">
        <f t="shared" si="147"/>
        <v>958.38</v>
      </c>
      <c r="W16" s="88" t="str">
        <f>LOOKUP(AP16,{5,10,15,20,25,30,40,50,60,70,80,90,100,125,150},{"0,000181656","0,000156444","0,000136428","0,000120228","0,000106908","0,000095784","0,00007848","0,000065724","0,000056088","0,000048576","0,000042648","0,00003786","0,000033948","0,0000264","0,00002196"})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16" s="89">
        <f t="shared" si="148"/>
        <v>3.4749251862518006E-7</v>
      </c>
      <c r="Y16" s="83">
        <f t="shared" si="149"/>
        <v>958.38</v>
      </c>
      <c r="Z16" s="90">
        <f t="shared" si="150"/>
        <v>955161.17850951164</v>
      </c>
      <c r="AA16" s="90">
        <f t="shared" si="151"/>
        <v>292320</v>
      </c>
      <c r="AB16" s="83">
        <f t="shared" si="152"/>
        <v>2.3223984953322049E-2</v>
      </c>
      <c r="AC16" s="83">
        <f t="shared" si="153"/>
        <v>2.3129350547369202E-2</v>
      </c>
      <c r="AD16" s="91" t="str">
        <f t="shared" si="154"/>
        <v>0,0231293505473692</v>
      </c>
      <c r="AE16" s="83">
        <f t="shared" si="155"/>
        <v>955161.17850951164</v>
      </c>
      <c r="AF16" s="83">
        <f t="shared" si="156"/>
        <v>5.9800766627156525</v>
      </c>
      <c r="AG16" s="83">
        <f t="shared" si="157"/>
        <v>261000</v>
      </c>
      <c r="AH16" s="83">
        <f t="shared" si="158"/>
        <v>5.4166405073382808</v>
      </c>
      <c r="AI16" s="83">
        <f t="shared" si="159"/>
        <v>2.1040194848844127</v>
      </c>
      <c r="AJ16" s="83">
        <f t="shared" si="160"/>
        <v>2</v>
      </c>
      <c r="AK16" s="83">
        <f t="shared" si="161"/>
        <v>3.2858722270692571</v>
      </c>
      <c r="AL16" s="83">
        <f t="shared" si="162"/>
        <v>4.9800766627156525</v>
      </c>
      <c r="AM16" s="83">
        <f t="shared" si="163"/>
        <v>0</v>
      </c>
      <c r="AN16" s="83">
        <f t="shared" si="164"/>
        <v>0.15216659853081421</v>
      </c>
      <c r="AO16" s="83">
        <f t="shared" si="165"/>
        <v>2.3154673708437989E-2</v>
      </c>
      <c r="AP16" s="83">
        <v>105</v>
      </c>
      <c r="AQ16" s="83">
        <v>70</v>
      </c>
      <c r="AR16" s="83">
        <f t="shared" si="166"/>
        <v>35</v>
      </c>
      <c r="AS16" s="83" t="str">
        <f>LOOKUP(AP16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16" s="88">
        <v>105</v>
      </c>
      <c r="AU16" s="88">
        <v>70</v>
      </c>
      <c r="AV16" s="83">
        <f t="shared" si="167"/>
        <v>35</v>
      </c>
      <c r="AW16" s="83">
        <f t="shared" si="168"/>
        <v>0.26100000000000001</v>
      </c>
      <c r="AX16" s="88" t="str">
        <f t="shared" si="169"/>
        <v>0,0231293505473692</v>
      </c>
      <c r="AY16" s="83">
        <f t="shared" si="170"/>
        <v>7.0053301996004942</v>
      </c>
      <c r="AZ16" s="83">
        <f t="shared" si="171"/>
        <v>68.722289258080849</v>
      </c>
      <c r="BA16" s="83">
        <f t="shared" si="172"/>
        <v>7.3095538300053153</v>
      </c>
      <c r="BB16" s="83">
        <f t="shared" si="173"/>
        <v>0.57306902027241668</v>
      </c>
      <c r="BC16" s="83">
        <f t="shared" si="174"/>
        <v>240.07001067984285</v>
      </c>
      <c r="BD16" s="83">
        <f t="shared" si="175"/>
        <v>1.2464213568027844</v>
      </c>
      <c r="BE16" s="83">
        <f t="shared" si="176"/>
        <v>977.81</v>
      </c>
      <c r="BF16" s="83" t="str">
        <f>LOOKUP(AQ16,{5,10,15,20,25,30,40,50,60,70,80,90,100,125,150},{"0,000181656","0,000156444","0,000136428","0,000120228","0,000106908","0,000095784","0,00007848","0,000065724","0,000056088","0,000048576","0,000042648","0,00003786","0,000033948","0,0000264","0,00002196"})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16" s="92">
        <f t="shared" si="177"/>
        <v>4.8734473977562104E-7</v>
      </c>
      <c r="BH16" s="83">
        <f t="shared" si="178"/>
        <v>977.81</v>
      </c>
      <c r="BI16" s="83">
        <f t="shared" si="179"/>
        <v>667527.41452653392</v>
      </c>
      <c r="BJ16" s="83">
        <f t="shared" si="180"/>
        <v>2.3313110933195953E-2</v>
      </c>
      <c r="BK16" s="91" t="str">
        <f t="shared" si="181"/>
        <v>0,0231293505473692</v>
      </c>
      <c r="BL16" s="83">
        <f t="shared" si="182"/>
        <v>667527.41452653392</v>
      </c>
      <c r="BM16" s="83">
        <f t="shared" si="183"/>
        <v>5.8244691063409011</v>
      </c>
      <c r="BN16" s="83">
        <f t="shared" si="184"/>
        <v>261000</v>
      </c>
      <c r="BO16" s="83">
        <f t="shared" si="185"/>
        <v>5.4166405073382808</v>
      </c>
      <c r="BP16" s="83">
        <f t="shared" si="186"/>
        <v>2.0752917972773175</v>
      </c>
      <c r="BQ16" s="83">
        <f t="shared" si="187"/>
        <v>2</v>
      </c>
      <c r="BR16" s="83">
        <f t="shared" si="188"/>
        <v>3.2858722270692571</v>
      </c>
      <c r="BS16" s="83">
        <f t="shared" si="189"/>
        <v>4.8244691063409011</v>
      </c>
      <c r="BT16" s="83">
        <f t="shared" si="190"/>
        <v>0</v>
      </c>
      <c r="BU16" s="83">
        <f t="shared" si="191"/>
        <v>0.15216659853081421</v>
      </c>
      <c r="BV16" s="83">
        <f t="shared" si="192"/>
        <v>2.3154673708437989E-2</v>
      </c>
      <c r="BW16" s="83" t="str">
        <f>LOOKUP(AQ16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16" s="93" t="str">
        <f t="shared" si="193"/>
        <v>0,0231293505473692</v>
      </c>
      <c r="BY16" s="83">
        <f t="shared" si="194"/>
        <v>6.86612773104501</v>
      </c>
      <c r="BZ16" s="83">
        <f t="shared" si="195"/>
        <v>67.356713041551558</v>
      </c>
      <c r="CA16" s="83">
        <f t="shared" si="196"/>
        <v>7.0219446835735075</v>
      </c>
      <c r="CB16" s="83">
        <f t="shared" si="197"/>
        <v>0.55052046319216286</v>
      </c>
      <c r="CC16" s="94">
        <f t="shared" si="198"/>
        <v>1.1235894834645794</v>
      </c>
      <c r="CD16" s="95"/>
      <c r="CE16" s="82" t="e">
        <f>#REF!-BB16</f>
        <v>#REF!</v>
      </c>
      <c r="CF16" s="86" t="e">
        <f>#REF!+CB16</f>
        <v>#REF!</v>
      </c>
      <c r="CG16" s="98" t="e">
        <f t="shared" si="199"/>
        <v>#REF!</v>
      </c>
      <c r="CH16" s="99" t="s">
        <v>86</v>
      </c>
      <c r="CI16" s="83" t="e">
        <f t="shared" si="200"/>
        <v>#REF!</v>
      </c>
      <c r="CJ16" s="83" t="s">
        <v>82</v>
      </c>
      <c r="CK16" s="94" t="str">
        <f>LOOKUP((AP16)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16" s="100" t="e">
        <f t="shared" si="201"/>
        <v>#REF!</v>
      </c>
      <c r="CM16" s="82" t="s">
        <v>82</v>
      </c>
      <c r="CN16" s="83" t="str">
        <f>LOOKUP((AQ16)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16" s="86" t="s">
        <v>83</v>
      </c>
      <c r="CP16" s="82">
        <v>22</v>
      </c>
      <c r="CQ16" s="83">
        <v>22.6</v>
      </c>
      <c r="CR16" s="94">
        <f t="shared" si="202"/>
        <v>0.60000000000000142</v>
      </c>
      <c r="CS16" s="99"/>
      <c r="CT16" s="83"/>
      <c r="CU16" s="94"/>
      <c r="CV16" s="83"/>
      <c r="CW16" s="82"/>
      <c r="CX16" s="98"/>
      <c r="CY16" s="82">
        <f t="shared" si="203"/>
        <v>5.9922310669199996</v>
      </c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</row>
    <row r="17" spans="1:124" s="101" customFormat="1" ht="16.5" customHeight="1" x14ac:dyDescent="0.25">
      <c r="A17" s="80" t="s">
        <v>98</v>
      </c>
      <c r="B17" s="81" t="s">
        <v>99</v>
      </c>
      <c r="C17" s="82">
        <f>C18+C24</f>
        <v>4.87</v>
      </c>
      <c r="D17" s="82">
        <f>D18+D24</f>
        <v>1.1399999999999999</v>
      </c>
      <c r="E17" s="83">
        <f t="shared" si="204"/>
        <v>0.24039999999999995</v>
      </c>
      <c r="F17" s="83">
        <f t="shared" si="205"/>
        <v>5.0648</v>
      </c>
      <c r="G17" s="83">
        <f t="shared" si="205"/>
        <v>1.1856</v>
      </c>
      <c r="H17" s="83">
        <f t="shared" si="139"/>
        <v>6.2504</v>
      </c>
      <c r="I17" s="83">
        <f t="shared" si="140"/>
        <v>178.58285714285716</v>
      </c>
      <c r="J17" s="84">
        <f t="shared" si="141"/>
        <v>186.33825532967839</v>
      </c>
      <c r="K17" s="85">
        <v>273</v>
      </c>
      <c r="L17" s="83" t="s">
        <v>11</v>
      </c>
      <c r="M17" s="86">
        <v>6</v>
      </c>
      <c r="N17" s="87">
        <v>100</v>
      </c>
      <c r="O17" s="83" t="str">
        <f t="shared" si="142"/>
        <v>0,4</v>
      </c>
      <c r="P17" s="83">
        <f t="shared" si="143"/>
        <v>140</v>
      </c>
      <c r="Q17" s="83">
        <f t="shared" si="144"/>
        <v>0.96745103803080912</v>
      </c>
      <c r="R17" s="83">
        <f t="shared" si="145"/>
        <v>5.3502063097499997E-2</v>
      </c>
      <c r="S17" s="83" t="str">
        <f t="shared" si="146"/>
        <v>0,0005</v>
      </c>
      <c r="T17" s="83" t="s">
        <v>79</v>
      </c>
      <c r="U17" s="83" t="s">
        <v>80</v>
      </c>
      <c r="V17" s="83">
        <f t="shared" si="147"/>
        <v>958.38</v>
      </c>
      <c r="W17" s="88" t="str">
        <f>LOOKUP(AP17,{5,10,15,20,25,30,40,50,60,70,80,90,100,125,150},{"0,000181656","0,000156444","0,000136428","0,000120228","0,000106908","0,000095784","0,00007848","0,000065724","0,000056088","0,000048576","0,000042648","0,00003786","0,000033948","0,0000264","0,00002196"})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17" s="89">
        <f t="shared" si="148"/>
        <v>3.4749251862518006E-7</v>
      </c>
      <c r="Y17" s="83">
        <f t="shared" si="149"/>
        <v>958.38</v>
      </c>
      <c r="Z17" s="90">
        <f t="shared" si="150"/>
        <v>726647.93453698303</v>
      </c>
      <c r="AA17" s="90">
        <f t="shared" si="151"/>
        <v>292320</v>
      </c>
      <c r="AB17" s="83">
        <f t="shared" si="152"/>
        <v>2.3289131761472875E-2</v>
      </c>
      <c r="AC17" s="83">
        <f t="shared" si="153"/>
        <v>2.3129350547369202E-2</v>
      </c>
      <c r="AD17" s="91" t="str">
        <f t="shared" si="154"/>
        <v>0,0231293505473692</v>
      </c>
      <c r="AE17" s="83">
        <f t="shared" si="155"/>
        <v>726647.93453698303</v>
      </c>
      <c r="AF17" s="83">
        <f t="shared" si="156"/>
        <v>5.8613240434279508</v>
      </c>
      <c r="AG17" s="83">
        <f t="shared" si="157"/>
        <v>261000</v>
      </c>
      <c r="AH17" s="83">
        <f t="shared" si="158"/>
        <v>5.4166405073382808</v>
      </c>
      <c r="AI17" s="83">
        <f t="shared" si="159"/>
        <v>2.0820958185220579</v>
      </c>
      <c r="AJ17" s="83">
        <f t="shared" si="160"/>
        <v>2</v>
      </c>
      <c r="AK17" s="83">
        <f t="shared" si="161"/>
        <v>3.2858722270692571</v>
      </c>
      <c r="AL17" s="83">
        <f t="shared" si="162"/>
        <v>4.8613240434279508</v>
      </c>
      <c r="AM17" s="83">
        <f t="shared" si="163"/>
        <v>0</v>
      </c>
      <c r="AN17" s="83">
        <f t="shared" si="164"/>
        <v>0.15216659853081421</v>
      </c>
      <c r="AO17" s="83">
        <f t="shared" si="165"/>
        <v>2.3154673708437989E-2</v>
      </c>
      <c r="AP17" s="83">
        <v>105</v>
      </c>
      <c r="AQ17" s="83">
        <v>70</v>
      </c>
      <c r="AR17" s="83">
        <f t="shared" si="166"/>
        <v>35</v>
      </c>
      <c r="AS17" s="83" t="str">
        <f>LOOKUP(AP17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17" s="88">
        <v>105</v>
      </c>
      <c r="AU17" s="88">
        <v>70</v>
      </c>
      <c r="AV17" s="83">
        <f t="shared" si="167"/>
        <v>35</v>
      </c>
      <c r="AW17" s="83">
        <f t="shared" si="168"/>
        <v>0.26100000000000001</v>
      </c>
      <c r="AX17" s="88" t="str">
        <f t="shared" si="169"/>
        <v>0,0231293505473692</v>
      </c>
      <c r="AY17" s="83">
        <f t="shared" si="170"/>
        <v>4.054369930180898</v>
      </c>
      <c r="AZ17" s="83">
        <f t="shared" si="171"/>
        <v>39.773369015074614</v>
      </c>
      <c r="BA17" s="83">
        <f t="shared" si="172"/>
        <v>4.2304408795894091</v>
      </c>
      <c r="BB17" s="83">
        <f t="shared" si="173"/>
        <v>0.59226172314251724</v>
      </c>
      <c r="BC17" s="83">
        <f t="shared" si="174"/>
        <v>182.6355397703615</v>
      </c>
      <c r="BD17" s="83">
        <f t="shared" si="175"/>
        <v>0.94822688030186519</v>
      </c>
      <c r="BE17" s="83">
        <f t="shared" si="176"/>
        <v>977.81</v>
      </c>
      <c r="BF17" s="83" t="str">
        <f>LOOKUP(AQ17,{5,10,15,20,25,30,40,50,60,70,80,90,100,125,150},{"0,000181656","0,000156444","0,000136428","0,000120228","0,000106908","0,000095784","0,00007848","0,000065724","0,000056088","0,000048576","0,000042648","0,00003786","0,000033948","0,0000264","0,00002196"})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17" s="92">
        <f t="shared" si="177"/>
        <v>4.8734473977562104E-7</v>
      </c>
      <c r="BH17" s="83">
        <f t="shared" si="178"/>
        <v>977.81</v>
      </c>
      <c r="BI17" s="83">
        <f t="shared" si="179"/>
        <v>507827.8178866416</v>
      </c>
      <c r="BJ17" s="83">
        <f t="shared" si="180"/>
        <v>2.3405106605390899E-2</v>
      </c>
      <c r="BK17" s="91" t="str">
        <f t="shared" si="181"/>
        <v>0,0231293505473692</v>
      </c>
      <c r="BL17" s="83">
        <f t="shared" si="182"/>
        <v>507827.8178866416</v>
      </c>
      <c r="BM17" s="83">
        <f t="shared" si="183"/>
        <v>5.7057164870531993</v>
      </c>
      <c r="BN17" s="83">
        <f t="shared" si="184"/>
        <v>261000</v>
      </c>
      <c r="BO17" s="83">
        <f t="shared" si="185"/>
        <v>5.4166405073382808</v>
      </c>
      <c r="BP17" s="83">
        <f t="shared" si="186"/>
        <v>2.0533681309149623</v>
      </c>
      <c r="BQ17" s="83">
        <f t="shared" si="187"/>
        <v>2</v>
      </c>
      <c r="BR17" s="83">
        <f t="shared" si="188"/>
        <v>3.2858722270692571</v>
      </c>
      <c r="BS17" s="83">
        <f t="shared" si="189"/>
        <v>4.7057164870531993</v>
      </c>
      <c r="BT17" s="83">
        <f t="shared" si="190"/>
        <v>0</v>
      </c>
      <c r="BU17" s="83">
        <f t="shared" si="191"/>
        <v>0.15216659853081421</v>
      </c>
      <c r="BV17" s="83">
        <f t="shared" si="192"/>
        <v>2.3154673708437989E-2</v>
      </c>
      <c r="BW17" s="83" t="str">
        <f>LOOKUP(AQ17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17" s="93" t="str">
        <f t="shared" si="193"/>
        <v>0,0231293505473692</v>
      </c>
      <c r="BY17" s="83">
        <f t="shared" si="194"/>
        <v>3.9738058044883662</v>
      </c>
      <c r="BZ17" s="83">
        <f t="shared" si="195"/>
        <v>38.983034942030876</v>
      </c>
      <c r="CA17" s="83">
        <f t="shared" si="196"/>
        <v>4.0639856459724966</v>
      </c>
      <c r="CB17" s="83">
        <f t="shared" si="197"/>
        <v>0.56895799043614959</v>
      </c>
      <c r="CC17" s="94">
        <f t="shared" si="198"/>
        <v>1.1612197135786668</v>
      </c>
      <c r="CD17" s="95"/>
      <c r="CE17" s="82" t="e">
        <f>#REF!-BB17</f>
        <v>#REF!</v>
      </c>
      <c r="CF17" s="86" t="e">
        <f>#REF!+CB17</f>
        <v>#REF!</v>
      </c>
      <c r="CG17" s="98" t="e">
        <f t="shared" si="199"/>
        <v>#REF!</v>
      </c>
      <c r="CH17" s="99" t="s">
        <v>86</v>
      </c>
      <c r="CI17" s="83" t="e">
        <f t="shared" si="200"/>
        <v>#REF!</v>
      </c>
      <c r="CJ17" s="83" t="s">
        <v>82</v>
      </c>
      <c r="CK17" s="94" t="str">
        <f>LOOKUP((AP17)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17" s="100" t="e">
        <f t="shared" si="201"/>
        <v>#REF!</v>
      </c>
      <c r="CM17" s="82" t="s">
        <v>82</v>
      </c>
      <c r="CN17" s="83" t="str">
        <f>LOOKUP((AQ17)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17" s="86" t="s">
        <v>83</v>
      </c>
      <c r="CP17" s="82">
        <v>22</v>
      </c>
      <c r="CQ17" s="83">
        <v>22.6</v>
      </c>
      <c r="CR17" s="94">
        <f t="shared" si="202"/>
        <v>0.60000000000000142</v>
      </c>
      <c r="CS17" s="99"/>
      <c r="CT17" s="83"/>
      <c r="CU17" s="94"/>
      <c r="CV17" s="83"/>
      <c r="CW17" s="82"/>
      <c r="CX17" s="98"/>
      <c r="CY17" s="82">
        <f t="shared" si="203"/>
        <v>10.7004126195</v>
      </c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</row>
    <row r="18" spans="1:124" s="101" customFormat="1" ht="16.5" customHeight="1" x14ac:dyDescent="0.25">
      <c r="A18" s="80" t="s">
        <v>99</v>
      </c>
      <c r="B18" s="81" t="s">
        <v>100</v>
      </c>
      <c r="C18" s="82">
        <f>C19+C28</f>
        <v>4.49</v>
      </c>
      <c r="D18" s="82">
        <f>D19+D28</f>
        <v>0.97</v>
      </c>
      <c r="E18" s="83">
        <f t="shared" si="204"/>
        <v>0.21839999999999971</v>
      </c>
      <c r="F18" s="83">
        <f t="shared" si="205"/>
        <v>4.6696</v>
      </c>
      <c r="G18" s="83">
        <f t="shared" si="205"/>
        <v>1.0087999999999999</v>
      </c>
      <c r="H18" s="83">
        <f t="shared" si="139"/>
        <v>5.6783999999999999</v>
      </c>
      <c r="I18" s="83">
        <f t="shared" si="140"/>
        <v>162.24</v>
      </c>
      <c r="J18" s="84">
        <f t="shared" si="141"/>
        <v>169.28566956739499</v>
      </c>
      <c r="K18" s="85">
        <v>273</v>
      </c>
      <c r="L18" s="83" t="s">
        <v>11</v>
      </c>
      <c r="M18" s="86">
        <v>6</v>
      </c>
      <c r="N18" s="87">
        <v>11</v>
      </c>
      <c r="O18" s="83" t="str">
        <f t="shared" si="142"/>
        <v>0,4</v>
      </c>
      <c r="P18" s="83">
        <f t="shared" si="143"/>
        <v>15.399999999999999</v>
      </c>
      <c r="Q18" s="83">
        <f t="shared" si="144"/>
        <v>0.87891558529920422</v>
      </c>
      <c r="R18" s="83">
        <f t="shared" si="145"/>
        <v>5.3502063097499997E-2</v>
      </c>
      <c r="S18" s="83" t="str">
        <f t="shared" si="146"/>
        <v>0,0005</v>
      </c>
      <c r="T18" s="83" t="s">
        <v>79</v>
      </c>
      <c r="U18" s="83" t="s">
        <v>80</v>
      </c>
      <c r="V18" s="83">
        <f t="shared" si="147"/>
        <v>958.38</v>
      </c>
      <c r="W18" s="88" t="str">
        <f>LOOKUP(AP18,{5,10,15,20,25,30,40,50,60,70,80,90,100,125,150},{"0,000181656","0,000156444","0,000136428","0,000120228","0,000106908","0,000095784","0,00007848","0,000065724","0,000056088","0,000048576","0,000042648","0,00003786","0,000033948","0,0000264","0,00002196"})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18" s="89">
        <f t="shared" si="148"/>
        <v>3.4749251862518006E-7</v>
      </c>
      <c r="Y18" s="83">
        <f t="shared" si="149"/>
        <v>958.38</v>
      </c>
      <c r="Z18" s="90">
        <f t="shared" si="150"/>
        <v>660149.37147619424</v>
      </c>
      <c r="AA18" s="90">
        <f t="shared" si="151"/>
        <v>292320</v>
      </c>
      <c r="AB18" s="83">
        <f t="shared" si="152"/>
        <v>2.331639912357655E-2</v>
      </c>
      <c r="AC18" s="83">
        <f t="shared" si="153"/>
        <v>2.3129350547369202E-2</v>
      </c>
      <c r="AD18" s="91" t="str">
        <f t="shared" si="154"/>
        <v>0,0231293505473692</v>
      </c>
      <c r="AE18" s="83">
        <f t="shared" si="155"/>
        <v>660149.37147619424</v>
      </c>
      <c r="AF18" s="83">
        <f t="shared" si="156"/>
        <v>5.8196422141299484</v>
      </c>
      <c r="AG18" s="83">
        <f t="shared" si="157"/>
        <v>261000</v>
      </c>
      <c r="AH18" s="83">
        <f t="shared" si="158"/>
        <v>5.4166405073382808</v>
      </c>
      <c r="AI18" s="83">
        <f t="shared" si="159"/>
        <v>2.0744006744116938</v>
      </c>
      <c r="AJ18" s="83">
        <f t="shared" si="160"/>
        <v>2</v>
      </c>
      <c r="AK18" s="83">
        <f t="shared" si="161"/>
        <v>3.2858722270692571</v>
      </c>
      <c r="AL18" s="83">
        <f t="shared" si="162"/>
        <v>4.8196422141299484</v>
      </c>
      <c r="AM18" s="83">
        <f t="shared" si="163"/>
        <v>0</v>
      </c>
      <c r="AN18" s="83">
        <f t="shared" si="164"/>
        <v>0.15216659853081421</v>
      </c>
      <c r="AO18" s="83">
        <f t="shared" si="165"/>
        <v>2.3154673708437989E-2</v>
      </c>
      <c r="AP18" s="83">
        <v>105</v>
      </c>
      <c r="AQ18" s="83">
        <v>70</v>
      </c>
      <c r="AR18" s="83">
        <f t="shared" si="166"/>
        <v>35</v>
      </c>
      <c r="AS18" s="83" t="str">
        <f>LOOKUP(AP18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18" s="88">
        <v>105</v>
      </c>
      <c r="AU18" s="88">
        <v>70</v>
      </c>
      <c r="AV18" s="83">
        <f t="shared" si="167"/>
        <v>35</v>
      </c>
      <c r="AW18" s="83">
        <f t="shared" si="168"/>
        <v>0.26100000000000001</v>
      </c>
      <c r="AX18" s="88" t="str">
        <f t="shared" si="169"/>
        <v>0,0231293505473692</v>
      </c>
      <c r="AY18" s="83">
        <f t="shared" si="170"/>
        <v>3.3462602432047763</v>
      </c>
      <c r="AZ18" s="83">
        <f t="shared" si="171"/>
        <v>32.826812985838856</v>
      </c>
      <c r="BA18" s="83">
        <f t="shared" si="172"/>
        <v>3.4915797942410909</v>
      </c>
      <c r="BB18" s="83">
        <f t="shared" si="173"/>
        <v>5.3770328831312796E-2</v>
      </c>
      <c r="BC18" s="83">
        <f t="shared" si="174"/>
        <v>165.92180484961293</v>
      </c>
      <c r="BD18" s="83">
        <f t="shared" si="175"/>
        <v>0.86145070989154482</v>
      </c>
      <c r="BE18" s="83">
        <f t="shared" si="176"/>
        <v>977.81</v>
      </c>
      <c r="BF18" s="83" t="str">
        <f>LOOKUP(AQ18,{5,10,15,20,25,30,40,50,60,70,80,90,100,125,150},{"0,000181656","0,000156444","0,000136428","0,000120228","0,000106908","0,000095784","0,00007848","0,000065724","0,000056088","0,000048576","0,000042648","0,00003786","0,000033948","0,0000264","0,00002196"})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18" s="92">
        <f t="shared" si="177"/>
        <v>4.8734473977562104E-7</v>
      </c>
      <c r="BH18" s="83">
        <f t="shared" si="178"/>
        <v>977.81</v>
      </c>
      <c r="BI18" s="83">
        <f t="shared" si="179"/>
        <v>461354.39029302221</v>
      </c>
      <c r="BJ18" s="83">
        <f t="shared" si="180"/>
        <v>2.3443519085709897E-2</v>
      </c>
      <c r="BK18" s="91" t="str">
        <f t="shared" si="181"/>
        <v>0,0231293505473692</v>
      </c>
      <c r="BL18" s="83">
        <f t="shared" si="182"/>
        <v>461354.39029302221</v>
      </c>
      <c r="BM18" s="83">
        <f t="shared" si="183"/>
        <v>5.664034657755197</v>
      </c>
      <c r="BN18" s="83">
        <f t="shared" si="184"/>
        <v>261000</v>
      </c>
      <c r="BO18" s="83">
        <f t="shared" si="185"/>
        <v>5.4166405073382808</v>
      </c>
      <c r="BP18" s="83">
        <f t="shared" si="186"/>
        <v>2.0456729868045986</v>
      </c>
      <c r="BQ18" s="83">
        <f t="shared" si="187"/>
        <v>2</v>
      </c>
      <c r="BR18" s="83">
        <f t="shared" si="188"/>
        <v>3.2858722270692571</v>
      </c>
      <c r="BS18" s="83">
        <f t="shared" si="189"/>
        <v>4.664034657755197</v>
      </c>
      <c r="BT18" s="83">
        <f t="shared" si="190"/>
        <v>0</v>
      </c>
      <c r="BU18" s="83">
        <f t="shared" si="191"/>
        <v>0.15216659853081421</v>
      </c>
      <c r="BV18" s="83">
        <f t="shared" si="192"/>
        <v>2.3154673708437989E-2</v>
      </c>
      <c r="BW18" s="83" t="str">
        <f>LOOKUP(AQ18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18" s="93" t="str">
        <f t="shared" si="193"/>
        <v>0,0231293505473692</v>
      </c>
      <c r="BY18" s="83">
        <f t="shared" si="194"/>
        <v>3.2797669198337034</v>
      </c>
      <c r="BZ18" s="83">
        <f t="shared" si="195"/>
        <v>32.174513483568632</v>
      </c>
      <c r="CA18" s="83">
        <f t="shared" si="196"/>
        <v>3.3541965410802752</v>
      </c>
      <c r="CB18" s="83">
        <f t="shared" si="197"/>
        <v>5.1654626732636232E-2</v>
      </c>
      <c r="CC18" s="94">
        <f t="shared" si="198"/>
        <v>0.10542495556394903</v>
      </c>
      <c r="CD18" s="95"/>
      <c r="CE18" s="82" t="e">
        <f>#REF!-BB18</f>
        <v>#REF!</v>
      </c>
      <c r="CF18" s="86" t="e">
        <f>#REF!+CB18</f>
        <v>#REF!</v>
      </c>
      <c r="CG18" s="98" t="e">
        <f t="shared" si="199"/>
        <v>#REF!</v>
      </c>
      <c r="CH18" s="99" t="s">
        <v>86</v>
      </c>
      <c r="CI18" s="83" t="e">
        <f t="shared" si="200"/>
        <v>#REF!</v>
      </c>
      <c r="CJ18" s="83" t="s">
        <v>82</v>
      </c>
      <c r="CK18" s="94" t="str">
        <f>LOOKUP((AP18)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18" s="100" t="e">
        <f t="shared" si="201"/>
        <v>#REF!</v>
      </c>
      <c r="CM18" s="82" t="s">
        <v>82</v>
      </c>
      <c r="CN18" s="83" t="str">
        <f>LOOKUP((AQ18)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18" s="86" t="s">
        <v>83</v>
      </c>
      <c r="CP18" s="82">
        <v>22</v>
      </c>
      <c r="CQ18" s="83">
        <v>22.6</v>
      </c>
      <c r="CR18" s="94">
        <f t="shared" si="202"/>
        <v>0.60000000000000142</v>
      </c>
      <c r="CS18" s="99"/>
      <c r="CT18" s="83"/>
      <c r="CU18" s="94"/>
      <c r="CV18" s="83"/>
      <c r="CW18" s="82"/>
      <c r="CX18" s="98"/>
      <c r="CY18" s="82">
        <f t="shared" si="203"/>
        <v>1.1770453881449998</v>
      </c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</row>
    <row r="19" spans="1:124" s="101" customFormat="1" ht="16.5" customHeight="1" x14ac:dyDescent="0.25">
      <c r="A19" s="80" t="s">
        <v>100</v>
      </c>
      <c r="B19" s="81" t="s">
        <v>101</v>
      </c>
      <c r="C19" s="82">
        <f>C21+C27</f>
        <v>2.48</v>
      </c>
      <c r="D19" s="82">
        <f>D21+D27</f>
        <v>0.52</v>
      </c>
      <c r="E19" s="83">
        <f t="shared" si="204"/>
        <v>0.12000000000000022</v>
      </c>
      <c r="F19" s="83">
        <f t="shared" si="205"/>
        <v>2.5792000000000002</v>
      </c>
      <c r="G19" s="83">
        <f t="shared" si="205"/>
        <v>0.54080000000000006</v>
      </c>
      <c r="H19" s="83">
        <f t="shared" si="139"/>
        <v>3.12</v>
      </c>
      <c r="I19" s="83">
        <f t="shared" si="140"/>
        <v>89.142857142857153</v>
      </c>
      <c r="J19" s="84">
        <f t="shared" si="141"/>
        <v>93.014104157909344</v>
      </c>
      <c r="K19" s="85">
        <v>219</v>
      </c>
      <c r="L19" s="83" t="s">
        <v>11</v>
      </c>
      <c r="M19" s="86">
        <v>4.5</v>
      </c>
      <c r="N19" s="87">
        <v>108</v>
      </c>
      <c r="O19" s="83" t="str">
        <f t="shared" si="142"/>
        <v>0,4</v>
      </c>
      <c r="P19" s="83">
        <f t="shared" si="143"/>
        <v>151.19999999999999</v>
      </c>
      <c r="Q19" s="83">
        <f t="shared" si="144"/>
        <v>0.74596457334936961</v>
      </c>
      <c r="R19" s="83">
        <f t="shared" si="145"/>
        <v>3.4636029749999991E-2</v>
      </c>
      <c r="S19" s="83" t="str">
        <f t="shared" si="146"/>
        <v>0,0005</v>
      </c>
      <c r="T19" s="83" t="s">
        <v>79</v>
      </c>
      <c r="U19" s="83" t="s">
        <v>80</v>
      </c>
      <c r="V19" s="83">
        <f t="shared" si="147"/>
        <v>958.38</v>
      </c>
      <c r="W19" s="88" t="str">
        <f>LOOKUP(AP19,{5,10,15,20,25,30,40,50,60,70,80,90,100,125,150},{"0,000181656","0,000156444","0,000136428","0,000120228","0,000106908","0,000095784","0,00007848","0,000065724","0,000056088","0,000048576","0,000042648","0,00003786","0,000033948","0,0000264","0,00002196"})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19" s="89">
        <f t="shared" si="148"/>
        <v>3.4749251862518006E-7</v>
      </c>
      <c r="Y19" s="83">
        <f t="shared" si="149"/>
        <v>958.38</v>
      </c>
      <c r="Z19" s="90">
        <f t="shared" si="150"/>
        <v>450808.44049002277</v>
      </c>
      <c r="AA19" s="90">
        <f t="shared" si="151"/>
        <v>235199.99999999997</v>
      </c>
      <c r="AB19" s="83">
        <f t="shared" si="152"/>
        <v>2.4674576789320096E-2</v>
      </c>
      <c r="AC19" s="83">
        <f t="shared" si="153"/>
        <v>2.4517397030032459E-2</v>
      </c>
      <c r="AD19" s="91" t="str">
        <f t="shared" si="154"/>
        <v>0,0245173970300325</v>
      </c>
      <c r="AE19" s="83">
        <f t="shared" si="155"/>
        <v>450808.44049002277</v>
      </c>
      <c r="AF19" s="83">
        <f t="shared" si="156"/>
        <v>5.6539920387492355</v>
      </c>
      <c r="AG19" s="83">
        <f t="shared" si="157"/>
        <v>210000</v>
      </c>
      <c r="AH19" s="83">
        <f t="shared" si="158"/>
        <v>5.3222192947339195</v>
      </c>
      <c r="AI19" s="83">
        <f t="shared" si="159"/>
        <v>2.0623372930806494</v>
      </c>
      <c r="AJ19" s="83">
        <f t="shared" si="160"/>
        <v>2</v>
      </c>
      <c r="AK19" s="83">
        <f t="shared" si="161"/>
        <v>3.1914510144648953</v>
      </c>
      <c r="AL19" s="83">
        <f t="shared" si="162"/>
        <v>4.6539920387492355</v>
      </c>
      <c r="AM19" s="83">
        <f t="shared" si="163"/>
        <v>0</v>
      </c>
      <c r="AN19" s="83">
        <f t="shared" si="164"/>
        <v>0.15666854911255282</v>
      </c>
      <c r="AO19" s="83">
        <f t="shared" si="165"/>
        <v>2.4545034281032375E-2</v>
      </c>
      <c r="AP19" s="83">
        <v>105</v>
      </c>
      <c r="AQ19" s="83">
        <v>70</v>
      </c>
      <c r="AR19" s="83">
        <f t="shared" si="166"/>
        <v>35</v>
      </c>
      <c r="AS19" s="83" t="str">
        <f>LOOKUP(AP19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19" s="88">
        <v>105</v>
      </c>
      <c r="AU19" s="88">
        <v>70</v>
      </c>
      <c r="AV19" s="83">
        <f t="shared" si="167"/>
        <v>35</v>
      </c>
      <c r="AW19" s="83">
        <f t="shared" si="168"/>
        <v>0.21</v>
      </c>
      <c r="AX19" s="88" t="str">
        <f t="shared" si="169"/>
        <v>0,0245173970300325</v>
      </c>
      <c r="AY19" s="83">
        <f t="shared" si="170"/>
        <v>3.175659441007932</v>
      </c>
      <c r="AZ19" s="83">
        <f t="shared" si="171"/>
        <v>31.153219116287815</v>
      </c>
      <c r="BA19" s="83">
        <f t="shared" si="172"/>
        <v>3.3135702341533966</v>
      </c>
      <c r="BB19" s="83">
        <f t="shared" si="173"/>
        <v>0.50101181940399353</v>
      </c>
      <c r="BC19" s="83">
        <f t="shared" si="174"/>
        <v>91.16582684044667</v>
      </c>
      <c r="BD19" s="83">
        <f t="shared" si="175"/>
        <v>0.73114155900079658</v>
      </c>
      <c r="BE19" s="83">
        <f t="shared" si="176"/>
        <v>977.81</v>
      </c>
      <c r="BF19" s="83" t="str">
        <f>LOOKUP(AQ19,{5,10,15,20,25,30,40,50,60,70,80,90,100,125,150},{"0,000181656","0,000156444","0,000136428","0,000120228","0,000106908","0,000095784","0,00007848","0,000065724","0,000056088","0,000048576","0,000042648","0,00003786","0,000033948","0,0000264","0,00002196"})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19" s="92">
        <f t="shared" si="177"/>
        <v>4.8734473977562104E-7</v>
      </c>
      <c r="BH19" s="83">
        <f t="shared" si="178"/>
        <v>977.81</v>
      </c>
      <c r="BI19" s="83">
        <f t="shared" si="179"/>
        <v>315053.62602427736</v>
      </c>
      <c r="BJ19" s="83">
        <f t="shared" si="180"/>
        <v>2.4831436047955464E-2</v>
      </c>
      <c r="BK19" s="91" t="str">
        <f t="shared" si="181"/>
        <v>0,0245173970300325</v>
      </c>
      <c r="BL19" s="83">
        <f t="shared" si="182"/>
        <v>315053.62602427736</v>
      </c>
      <c r="BM19" s="83">
        <f t="shared" si="183"/>
        <v>5.4983844823744841</v>
      </c>
      <c r="BN19" s="83">
        <f t="shared" si="184"/>
        <v>210000</v>
      </c>
      <c r="BO19" s="83">
        <f t="shared" si="185"/>
        <v>5.3222192947339195</v>
      </c>
      <c r="BP19" s="83">
        <f t="shared" si="186"/>
        <v>2.0330999490785491</v>
      </c>
      <c r="BQ19" s="83">
        <f t="shared" si="187"/>
        <v>2</v>
      </c>
      <c r="BR19" s="83">
        <f t="shared" si="188"/>
        <v>3.1914510144648953</v>
      </c>
      <c r="BS19" s="83">
        <f t="shared" si="189"/>
        <v>4.4983844823744841</v>
      </c>
      <c r="BT19" s="83">
        <f t="shared" si="190"/>
        <v>0</v>
      </c>
      <c r="BU19" s="83">
        <f t="shared" si="191"/>
        <v>0.15666854911255282</v>
      </c>
      <c r="BV19" s="83">
        <f t="shared" si="192"/>
        <v>2.4545034281032375E-2</v>
      </c>
      <c r="BW19" s="83" t="str">
        <f>LOOKUP(AQ19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19" s="93" t="str">
        <f t="shared" si="193"/>
        <v>0,0245173970300325</v>
      </c>
      <c r="BY19" s="83">
        <f t="shared" si="194"/>
        <v>3.1125561152710466</v>
      </c>
      <c r="BZ19" s="83">
        <f t="shared" si="195"/>
        <v>30.53417549080897</v>
      </c>
      <c r="CA19" s="83">
        <f t="shared" si="196"/>
        <v>3.1831911263650881</v>
      </c>
      <c r="CB19" s="83">
        <f t="shared" si="197"/>
        <v>0.48129849830640126</v>
      </c>
      <c r="CC19" s="94">
        <f t="shared" si="198"/>
        <v>0.98231031771039479</v>
      </c>
      <c r="CD19" s="95"/>
      <c r="CE19" s="82" t="e">
        <f>#REF!-BB19</f>
        <v>#REF!</v>
      </c>
      <c r="CF19" s="86" t="e">
        <f>#REF!+CB19</f>
        <v>#REF!</v>
      </c>
      <c r="CG19" s="98" t="e">
        <f t="shared" si="199"/>
        <v>#REF!</v>
      </c>
      <c r="CH19" s="99" t="s">
        <v>86</v>
      </c>
      <c r="CI19" s="83" t="e">
        <f t="shared" si="200"/>
        <v>#REF!</v>
      </c>
      <c r="CJ19" s="83" t="s">
        <v>82</v>
      </c>
      <c r="CK19" s="94" t="str">
        <f>LOOKUP((AP19)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19" s="100" t="e">
        <f t="shared" si="201"/>
        <v>#REF!</v>
      </c>
      <c r="CM19" s="82" t="s">
        <v>82</v>
      </c>
      <c r="CN19" s="83" t="str">
        <f>LOOKUP((AQ19)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19" s="86" t="s">
        <v>83</v>
      </c>
      <c r="CP19" s="82">
        <v>22</v>
      </c>
      <c r="CQ19" s="83">
        <v>22.6</v>
      </c>
      <c r="CR19" s="94">
        <f t="shared" si="202"/>
        <v>0.60000000000000142</v>
      </c>
      <c r="CS19" s="99"/>
      <c r="CT19" s="83"/>
      <c r="CU19" s="94"/>
      <c r="CV19" s="83"/>
      <c r="CW19" s="82"/>
      <c r="CX19" s="98"/>
      <c r="CY19" s="82">
        <f t="shared" si="203"/>
        <v>7.4813824259999979</v>
      </c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</row>
    <row r="20" spans="1:124" s="101" customFormat="1" ht="16.5" customHeight="1" x14ac:dyDescent="0.25">
      <c r="A20" s="80" t="s">
        <v>101</v>
      </c>
      <c r="B20" s="81" t="s">
        <v>102</v>
      </c>
      <c r="C20" s="82">
        <f>C21+C23</f>
        <v>2.93</v>
      </c>
      <c r="D20" s="82">
        <f>D21+D23</f>
        <v>0.48</v>
      </c>
      <c r="E20" s="83">
        <f t="shared" si="204"/>
        <v>0.13639999999999997</v>
      </c>
      <c r="F20" s="83">
        <f t="shared" si="205"/>
        <v>3.0472000000000001</v>
      </c>
      <c r="G20" s="83">
        <f t="shared" si="205"/>
        <v>0.49919999999999998</v>
      </c>
      <c r="H20" s="83">
        <f t="shared" si="139"/>
        <v>3.5464000000000002</v>
      </c>
      <c r="I20" s="83">
        <f t="shared" si="140"/>
        <v>101.3257142857143</v>
      </c>
      <c r="J20" s="84">
        <f t="shared" si="141"/>
        <v>105.72603172615695</v>
      </c>
      <c r="K20" s="85">
        <v>219</v>
      </c>
      <c r="L20" s="83" t="s">
        <v>11</v>
      </c>
      <c r="M20" s="86">
        <v>4.5</v>
      </c>
      <c r="N20" s="87">
        <v>14</v>
      </c>
      <c r="O20" s="83" t="str">
        <f t="shared" si="142"/>
        <v>0,4</v>
      </c>
      <c r="P20" s="83">
        <f t="shared" si="143"/>
        <v>19.599999999999998</v>
      </c>
      <c r="Q20" s="83">
        <f t="shared" si="144"/>
        <v>0.84791306504045016</v>
      </c>
      <c r="R20" s="83">
        <f t="shared" si="145"/>
        <v>3.4636029749999991E-2</v>
      </c>
      <c r="S20" s="83" t="str">
        <f t="shared" si="146"/>
        <v>0,0005</v>
      </c>
      <c r="T20" s="83" t="s">
        <v>79</v>
      </c>
      <c r="U20" s="83" t="s">
        <v>80</v>
      </c>
      <c r="V20" s="83">
        <f t="shared" si="147"/>
        <v>958.38</v>
      </c>
      <c r="W20" s="88" t="str">
        <f>LOOKUP(AP20,{5,10,15,20,25,30,40,50,60,70,80,90,100,125,150},{"0,000181656","0,000156444","0,000136428","0,000120228","0,000106908","0,000095784","0,00007848","0,000065724","0,000056088","0,000048576","0,000042648","0,00003786","0,000033948","0,0000264","0,00002196"})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20" s="89">
        <f t="shared" si="148"/>
        <v>3.4749251862518006E-7</v>
      </c>
      <c r="Y20" s="83">
        <f t="shared" si="149"/>
        <v>958.38</v>
      </c>
      <c r="Z20" s="90">
        <f t="shared" si="150"/>
        <v>512418.92735699256</v>
      </c>
      <c r="AA20" s="90">
        <f t="shared" si="151"/>
        <v>235199.99999999997</v>
      </c>
      <c r="AB20" s="83">
        <f t="shared" si="152"/>
        <v>2.46302692208758E-2</v>
      </c>
      <c r="AC20" s="83">
        <f t="shared" si="153"/>
        <v>2.4517397030032459E-2</v>
      </c>
      <c r="AD20" s="91" t="str">
        <f t="shared" si="154"/>
        <v>0,0245173970300325</v>
      </c>
      <c r="AE20" s="83">
        <f t="shared" si="155"/>
        <v>512418.92735699256</v>
      </c>
      <c r="AF20" s="83">
        <f t="shared" si="156"/>
        <v>5.7096251630220713</v>
      </c>
      <c r="AG20" s="83">
        <f t="shared" si="157"/>
        <v>210000</v>
      </c>
      <c r="AH20" s="83">
        <f t="shared" si="158"/>
        <v>5.3222192947339195</v>
      </c>
      <c r="AI20" s="83">
        <f t="shared" si="159"/>
        <v>2.0727902866895151</v>
      </c>
      <c r="AJ20" s="83">
        <f t="shared" si="160"/>
        <v>2</v>
      </c>
      <c r="AK20" s="83">
        <f t="shared" si="161"/>
        <v>3.1914510144648953</v>
      </c>
      <c r="AL20" s="83">
        <f t="shared" si="162"/>
        <v>4.7096251630220713</v>
      </c>
      <c r="AM20" s="83">
        <f t="shared" si="163"/>
        <v>0</v>
      </c>
      <c r="AN20" s="83">
        <f t="shared" si="164"/>
        <v>0.15666854911255282</v>
      </c>
      <c r="AO20" s="83">
        <f t="shared" si="165"/>
        <v>2.4545034281032375E-2</v>
      </c>
      <c r="AP20" s="83">
        <v>105</v>
      </c>
      <c r="AQ20" s="83">
        <v>70</v>
      </c>
      <c r="AR20" s="83">
        <f t="shared" si="166"/>
        <v>35</v>
      </c>
      <c r="AS20" s="83" t="str">
        <f>LOOKUP(AP20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20" s="88">
        <v>105</v>
      </c>
      <c r="AU20" s="88">
        <v>70</v>
      </c>
      <c r="AV20" s="83">
        <f t="shared" si="167"/>
        <v>35</v>
      </c>
      <c r="AW20" s="83">
        <f t="shared" si="168"/>
        <v>0.21</v>
      </c>
      <c r="AX20" s="88" t="str">
        <f t="shared" si="169"/>
        <v>0,0245173970300325</v>
      </c>
      <c r="AY20" s="83">
        <f t="shared" si="170"/>
        <v>4.1029872828871481</v>
      </c>
      <c r="AZ20" s="83">
        <f t="shared" si="171"/>
        <v>40.250305245122924</v>
      </c>
      <c r="BA20" s="83">
        <f t="shared" si="172"/>
        <v>4.2811695599732342</v>
      </c>
      <c r="BB20" s="83">
        <f t="shared" si="173"/>
        <v>8.3910923375475371E-2</v>
      </c>
      <c r="BC20" s="83">
        <f t="shared" si="174"/>
        <v>103.62515650864104</v>
      </c>
      <c r="BD20" s="83">
        <f t="shared" si="175"/>
        <v>0.8310642387309054</v>
      </c>
      <c r="BE20" s="83">
        <f t="shared" si="176"/>
        <v>977.81</v>
      </c>
      <c r="BF20" s="83" t="str">
        <f>LOOKUP(AQ20,{5,10,15,20,25,30,40,50,60,70,80,90,100,125,150},{"0,000181656","0,000156444","0,000136428","0,000120228","0,000106908","0,000095784","0,00007848","0,000065724","0,000056088","0,000048576","0,000042648","0,00003786","0,000033948","0,0000264","0,00002196"})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20" s="92">
        <f t="shared" si="177"/>
        <v>4.8734473977562104E-7</v>
      </c>
      <c r="BH20" s="83">
        <f t="shared" si="178"/>
        <v>977.81</v>
      </c>
      <c r="BI20" s="83">
        <f t="shared" si="179"/>
        <v>358110.95491426194</v>
      </c>
      <c r="BJ20" s="83">
        <f t="shared" si="180"/>
        <v>2.4769163997150647E-2</v>
      </c>
      <c r="BK20" s="91" t="str">
        <f t="shared" si="181"/>
        <v>0,0245173970300325</v>
      </c>
      <c r="BL20" s="83">
        <f t="shared" si="182"/>
        <v>358110.95491426194</v>
      </c>
      <c r="BM20" s="83">
        <f t="shared" si="183"/>
        <v>5.554017606647319</v>
      </c>
      <c r="BN20" s="83">
        <f t="shared" si="184"/>
        <v>210000</v>
      </c>
      <c r="BO20" s="83">
        <f t="shared" si="185"/>
        <v>5.3222192947339195</v>
      </c>
      <c r="BP20" s="83">
        <f t="shared" si="186"/>
        <v>2.0435529426874148</v>
      </c>
      <c r="BQ20" s="83">
        <f t="shared" si="187"/>
        <v>2</v>
      </c>
      <c r="BR20" s="83">
        <f t="shared" si="188"/>
        <v>3.1914510144648953</v>
      </c>
      <c r="BS20" s="83">
        <f t="shared" si="189"/>
        <v>4.554017606647319</v>
      </c>
      <c r="BT20" s="83">
        <f t="shared" si="190"/>
        <v>0</v>
      </c>
      <c r="BU20" s="83">
        <f t="shared" si="191"/>
        <v>0.15666854911255282</v>
      </c>
      <c r="BV20" s="83">
        <f t="shared" si="192"/>
        <v>2.4545034281032375E-2</v>
      </c>
      <c r="BW20" s="83" t="str">
        <f>LOOKUP(AQ20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20" s="93" t="str">
        <f t="shared" si="193"/>
        <v>0,0245173970300325</v>
      </c>
      <c r="BY20" s="83">
        <f t="shared" si="194"/>
        <v>4.0214570848870288</v>
      </c>
      <c r="BZ20" s="83">
        <f t="shared" si="195"/>
        <v>39.450494002741756</v>
      </c>
      <c r="CA20" s="83">
        <f t="shared" si="196"/>
        <v>4.1127183040539874</v>
      </c>
      <c r="CB20" s="83">
        <f t="shared" si="197"/>
        <v>8.0609278759458156E-2</v>
      </c>
      <c r="CC20" s="94">
        <f t="shared" si="198"/>
        <v>0.16452020213493351</v>
      </c>
      <c r="CD20" s="95"/>
      <c r="CE20" s="82" t="e">
        <f>#REF!-BB20</f>
        <v>#REF!</v>
      </c>
      <c r="CF20" s="86" t="e">
        <f>#REF!+CB20</f>
        <v>#REF!</v>
      </c>
      <c r="CG20" s="98" t="e">
        <f t="shared" si="199"/>
        <v>#REF!</v>
      </c>
      <c r="CH20" s="99" t="s">
        <v>86</v>
      </c>
      <c r="CI20" s="83" t="e">
        <f t="shared" si="200"/>
        <v>#REF!</v>
      </c>
      <c r="CJ20" s="83" t="s">
        <v>82</v>
      </c>
      <c r="CK20" s="94" t="str">
        <f>LOOKUP((AP20)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20" s="100" t="e">
        <f t="shared" si="201"/>
        <v>#REF!</v>
      </c>
      <c r="CM20" s="82" t="s">
        <v>82</v>
      </c>
      <c r="CN20" s="83" t="str">
        <f>LOOKUP((AQ20)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20" s="86" t="s">
        <v>83</v>
      </c>
      <c r="CP20" s="82">
        <v>22</v>
      </c>
      <c r="CQ20" s="83">
        <v>22.6</v>
      </c>
      <c r="CR20" s="94">
        <f t="shared" si="202"/>
        <v>0.60000000000000142</v>
      </c>
      <c r="CS20" s="99"/>
      <c r="CT20" s="83"/>
      <c r="CU20" s="94"/>
      <c r="CV20" s="83"/>
      <c r="CW20" s="82"/>
      <c r="CX20" s="98"/>
      <c r="CY20" s="82">
        <f t="shared" si="203"/>
        <v>0.96980883299999976</v>
      </c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</row>
    <row r="21" spans="1:124" s="101" customFormat="1" ht="16.5" customHeight="1" x14ac:dyDescent="0.25">
      <c r="A21" s="80" t="s">
        <v>102</v>
      </c>
      <c r="B21" s="81" t="s">
        <v>103</v>
      </c>
      <c r="C21" s="82">
        <f>C22+C26</f>
        <v>1.57</v>
      </c>
      <c r="D21" s="82">
        <f>D22+D26</f>
        <v>0.32</v>
      </c>
      <c r="E21" s="83">
        <f t="shared" si="204"/>
        <v>7.5600000000000001E-2</v>
      </c>
      <c r="F21" s="83">
        <f t="shared" si="205"/>
        <v>1.6328</v>
      </c>
      <c r="G21" s="83">
        <f t="shared" si="205"/>
        <v>0.33280000000000004</v>
      </c>
      <c r="H21" s="83">
        <f t="shared" si="139"/>
        <v>1.9656</v>
      </c>
      <c r="I21" s="83">
        <f t="shared" si="140"/>
        <v>56.160000000000004</v>
      </c>
      <c r="J21" s="84">
        <f t="shared" si="141"/>
        <v>58.598885619482878</v>
      </c>
      <c r="K21" s="85">
        <v>159</v>
      </c>
      <c r="L21" s="83" t="s">
        <v>11</v>
      </c>
      <c r="M21" s="86">
        <v>4.5</v>
      </c>
      <c r="N21" s="87">
        <v>45</v>
      </c>
      <c r="O21" s="83" t="str">
        <f t="shared" si="142"/>
        <v>0,3</v>
      </c>
      <c r="P21" s="83">
        <f t="shared" si="143"/>
        <v>58.5</v>
      </c>
      <c r="Q21" s="83">
        <f t="shared" si="144"/>
        <v>0.92111705517180142</v>
      </c>
      <c r="R21" s="83">
        <f t="shared" si="145"/>
        <v>1.7671443749999998E-2</v>
      </c>
      <c r="S21" s="83" t="str">
        <f t="shared" si="146"/>
        <v>0,0005</v>
      </c>
      <c r="T21" s="83" t="s">
        <v>79</v>
      </c>
      <c r="U21" s="83" t="s">
        <v>80</v>
      </c>
      <c r="V21" s="83">
        <f t="shared" si="147"/>
        <v>958.38</v>
      </c>
      <c r="W21" s="88" t="str">
        <f>LOOKUP(AP21,{5,10,15,20,25,30,40,50,60,70,80,90,100,125,150},{"0,000181656","0,000156444","0,000136428","0,000120228","0,000106908","0,000095784","0,00007848","0,000065724","0,000056088","0,000048576","0,000042648","0,00003786","0,000033948","0,0000264","0,00002196"})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21" s="89">
        <f t="shared" si="148"/>
        <v>3.4749251862518006E-7</v>
      </c>
      <c r="Y21" s="83">
        <f t="shared" si="149"/>
        <v>958.38</v>
      </c>
      <c r="Z21" s="90">
        <f t="shared" si="150"/>
        <v>397613.04451219999</v>
      </c>
      <c r="AA21" s="90">
        <f t="shared" si="151"/>
        <v>168000</v>
      </c>
      <c r="AB21" s="83">
        <f t="shared" si="152"/>
        <v>2.6763608856783649E-2</v>
      </c>
      <c r="AC21" s="83">
        <f t="shared" si="153"/>
        <v>2.6925299052784474E-2</v>
      </c>
      <c r="AD21" s="91" t="str">
        <f t="shared" si="154"/>
        <v>0,0269252990527845</v>
      </c>
      <c r="AE21" s="83">
        <f t="shared" si="155"/>
        <v>397613.04451219999</v>
      </c>
      <c r="AF21" s="83">
        <f t="shared" si="156"/>
        <v>5.5994606238810549</v>
      </c>
      <c r="AG21" s="83">
        <f t="shared" si="157"/>
        <v>150000</v>
      </c>
      <c r="AH21" s="83">
        <f t="shared" si="158"/>
        <v>5.1760912590556813</v>
      </c>
      <c r="AI21" s="83">
        <f t="shared" si="159"/>
        <v>2.0817932574285045</v>
      </c>
      <c r="AJ21" s="83">
        <f t="shared" si="160"/>
        <v>2</v>
      </c>
      <c r="AK21" s="83">
        <f t="shared" si="161"/>
        <v>3.0453229787866576</v>
      </c>
      <c r="AL21" s="83">
        <f t="shared" si="162"/>
        <v>4.5994606238810549</v>
      </c>
      <c r="AM21" s="83">
        <f t="shared" si="163"/>
        <v>0</v>
      </c>
      <c r="AN21" s="83">
        <f t="shared" si="164"/>
        <v>0.16418619748477847</v>
      </c>
      <c r="AO21" s="83">
        <f t="shared" si="165"/>
        <v>2.6957107444510676E-2</v>
      </c>
      <c r="AP21" s="83">
        <v>105</v>
      </c>
      <c r="AQ21" s="83">
        <v>70</v>
      </c>
      <c r="AR21" s="83">
        <f t="shared" si="166"/>
        <v>35</v>
      </c>
      <c r="AS21" s="83" t="str">
        <f>LOOKUP(AP21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21" s="88">
        <v>105</v>
      </c>
      <c r="AU21" s="88">
        <v>70</v>
      </c>
      <c r="AV21" s="83">
        <f t="shared" si="167"/>
        <v>35</v>
      </c>
      <c r="AW21" s="83">
        <f t="shared" si="168"/>
        <v>0.15</v>
      </c>
      <c r="AX21" s="88" t="str">
        <f t="shared" si="169"/>
        <v>0,0269252990527845</v>
      </c>
      <c r="AY21" s="83">
        <f t="shared" si="170"/>
        <v>7.4446001245516671</v>
      </c>
      <c r="AZ21" s="83">
        <f t="shared" si="171"/>
        <v>73.03152722185186</v>
      </c>
      <c r="BA21" s="83">
        <f t="shared" si="172"/>
        <v>7.7679001278737738</v>
      </c>
      <c r="BB21" s="83">
        <f t="shared" si="173"/>
        <v>0.45442215748061582</v>
      </c>
      <c r="BC21" s="83">
        <f t="shared" si="174"/>
        <v>57.434470909481398</v>
      </c>
      <c r="BD21" s="83">
        <f t="shared" si="175"/>
        <v>0.9028135970541834</v>
      </c>
      <c r="BE21" s="83">
        <f t="shared" si="176"/>
        <v>977.81</v>
      </c>
      <c r="BF21" s="83" t="str">
        <f>LOOKUP(AQ21,{5,10,15,20,25,30,40,50,60,70,80,90,100,125,150},{"0,000181656","0,000156444","0,000136428","0,000120228","0,000106908","0,000095784","0,00007848","0,000065724","0,000056088","0,000048576","0,000042648","0,00003786","0,000033948","0,0000264","0,00002196"})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21" s="92">
        <f t="shared" si="177"/>
        <v>4.8734473977562104E-7</v>
      </c>
      <c r="BH21" s="83">
        <f t="shared" si="178"/>
        <v>977.81</v>
      </c>
      <c r="BI21" s="83">
        <f t="shared" si="179"/>
        <v>277877.29815341259</v>
      </c>
      <c r="BJ21" s="83">
        <f t="shared" si="180"/>
        <v>2.6903213288770392E-2</v>
      </c>
      <c r="BK21" s="91" t="str">
        <f t="shared" si="181"/>
        <v>0,0269252990527845</v>
      </c>
      <c r="BL21" s="83">
        <f t="shared" si="182"/>
        <v>277877.29815341259</v>
      </c>
      <c r="BM21" s="83">
        <f t="shared" si="183"/>
        <v>5.4438530675063035</v>
      </c>
      <c r="BN21" s="83">
        <f t="shared" si="184"/>
        <v>150000</v>
      </c>
      <c r="BO21" s="83">
        <f t="shared" si="185"/>
        <v>5.1760912590556813</v>
      </c>
      <c r="BP21" s="83">
        <f t="shared" si="186"/>
        <v>2.0517305037816262</v>
      </c>
      <c r="BQ21" s="83">
        <f t="shared" si="187"/>
        <v>2</v>
      </c>
      <c r="BR21" s="83">
        <f t="shared" si="188"/>
        <v>3.0453229787866576</v>
      </c>
      <c r="BS21" s="83">
        <f t="shared" si="189"/>
        <v>4.4438530675063035</v>
      </c>
      <c r="BT21" s="83">
        <f t="shared" si="190"/>
        <v>0</v>
      </c>
      <c r="BU21" s="83">
        <f t="shared" si="191"/>
        <v>0.16418619748477847</v>
      </c>
      <c r="BV21" s="83">
        <f t="shared" si="192"/>
        <v>2.6957107444510676E-2</v>
      </c>
      <c r="BW21" s="83" t="str">
        <f>LOOKUP(AQ21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21" s="93" t="str">
        <f t="shared" si="193"/>
        <v>0,0269252990527845</v>
      </c>
      <c r="BY21" s="83">
        <f t="shared" si="194"/>
        <v>7.2966689513993801</v>
      </c>
      <c r="BZ21" s="83">
        <f t="shared" si="195"/>
        <v>71.580322413227918</v>
      </c>
      <c r="CA21" s="83">
        <f t="shared" si="196"/>
        <v>7.4622564213900251</v>
      </c>
      <c r="CB21" s="83">
        <f t="shared" si="197"/>
        <v>0.43654200065131649</v>
      </c>
      <c r="CC21" s="94">
        <f t="shared" si="198"/>
        <v>0.8909641581319323</v>
      </c>
      <c r="CD21" s="95"/>
      <c r="CE21" s="82" t="e">
        <f>#REF!-BB21</f>
        <v>#REF!</v>
      </c>
      <c r="CF21" s="86" t="e">
        <f>#REF!+CB21</f>
        <v>#REF!</v>
      </c>
      <c r="CG21" s="98" t="e">
        <f t="shared" si="199"/>
        <v>#REF!</v>
      </c>
      <c r="CH21" s="99" t="s">
        <v>86</v>
      </c>
      <c r="CI21" s="83" t="e">
        <f t="shared" si="200"/>
        <v>#REF!</v>
      </c>
      <c r="CJ21" s="83" t="s">
        <v>82</v>
      </c>
      <c r="CK21" s="94" t="str">
        <f>LOOKUP((AP21)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21" s="100" t="e">
        <f t="shared" si="201"/>
        <v>#REF!</v>
      </c>
      <c r="CM21" s="82" t="s">
        <v>82</v>
      </c>
      <c r="CN21" s="83" t="str">
        <f>LOOKUP((AQ21)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21" s="86" t="s">
        <v>83</v>
      </c>
      <c r="CP21" s="82">
        <v>22</v>
      </c>
      <c r="CQ21" s="83">
        <v>22.6</v>
      </c>
      <c r="CR21" s="94">
        <f t="shared" si="202"/>
        <v>0.60000000000000142</v>
      </c>
      <c r="CS21" s="99"/>
      <c r="CT21" s="83"/>
      <c r="CU21" s="94"/>
      <c r="CV21" s="83"/>
      <c r="CW21" s="82"/>
      <c r="CX21" s="98"/>
      <c r="CY21" s="82">
        <f t="shared" si="203"/>
        <v>1.5904299374999997</v>
      </c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</row>
    <row r="22" spans="1:124" s="144" customFormat="1" ht="16.5" customHeight="1" x14ac:dyDescent="0.25">
      <c r="A22" s="124" t="s">
        <v>103</v>
      </c>
      <c r="B22" s="125" t="s">
        <v>104</v>
      </c>
      <c r="C22" s="126">
        <v>1.24</v>
      </c>
      <c r="D22" s="126">
        <v>0.27</v>
      </c>
      <c r="E22" s="127">
        <f t="shared" si="204"/>
        <v>6.040000000000012E-2</v>
      </c>
      <c r="F22" s="127">
        <f t="shared" si="205"/>
        <v>1.2896000000000001</v>
      </c>
      <c r="G22" s="127">
        <f t="shared" si="205"/>
        <v>0.28080000000000005</v>
      </c>
      <c r="H22" s="127">
        <f t="shared" si="139"/>
        <v>1.5704000000000002</v>
      </c>
      <c r="I22" s="127">
        <f t="shared" si="140"/>
        <v>44.868571428571428</v>
      </c>
      <c r="J22" s="128">
        <f t="shared" si="141"/>
        <v>46.81709909281436</v>
      </c>
      <c r="K22" s="129">
        <v>159</v>
      </c>
      <c r="L22" s="127" t="s">
        <v>11</v>
      </c>
      <c r="M22" s="130">
        <v>4.5</v>
      </c>
      <c r="N22" s="131">
        <f>38+77</f>
        <v>115</v>
      </c>
      <c r="O22" s="127" t="str">
        <f t="shared" si="142"/>
        <v>0,3</v>
      </c>
      <c r="P22" s="127">
        <f t="shared" si="143"/>
        <v>149.5</v>
      </c>
      <c r="Q22" s="127">
        <f t="shared" si="144"/>
        <v>0.73591891709493118</v>
      </c>
      <c r="R22" s="127">
        <f t="shared" si="145"/>
        <v>1.7671443749999998E-2</v>
      </c>
      <c r="S22" s="127" t="str">
        <f t="shared" si="146"/>
        <v>0,0005</v>
      </c>
      <c r="T22" s="127" t="s">
        <v>79</v>
      </c>
      <c r="U22" s="127" t="s">
        <v>80</v>
      </c>
      <c r="V22" s="127">
        <f t="shared" si="147"/>
        <v>958.38</v>
      </c>
      <c r="W22" s="132" t="str">
        <f>LOOKUP(AP22,{5,10,15,20,25,30,40,50,60,70,80,90,100,125,150},{"0,000181656","0,000156444","0,000136428","0,000120228","0,000106908","0,000095784","0,00007848","0,000065724","0,000056088","0,000048576","0,000042648","0,00003786","0,000033948","0,0000264","0,00002196"})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22" s="133">
        <f t="shared" si="148"/>
        <v>3.4749251862518006E-7</v>
      </c>
      <c r="Y22" s="127">
        <f t="shared" si="149"/>
        <v>958.38</v>
      </c>
      <c r="Z22" s="134">
        <f t="shared" si="150"/>
        <v>317669.68106530258</v>
      </c>
      <c r="AA22" s="134">
        <f t="shared" si="151"/>
        <v>168000</v>
      </c>
      <c r="AB22" s="127">
        <f t="shared" si="152"/>
        <v>2.6845406571409464E-2</v>
      </c>
      <c r="AC22" s="127">
        <f t="shared" si="153"/>
        <v>2.6925299052784474E-2</v>
      </c>
      <c r="AD22" s="135" t="str">
        <f t="shared" si="154"/>
        <v>0,0269252990527845</v>
      </c>
      <c r="AE22" s="127">
        <f t="shared" si="155"/>
        <v>317669.68106530258</v>
      </c>
      <c r="AF22" s="127">
        <f t="shared" si="156"/>
        <v>5.5019757670009808</v>
      </c>
      <c r="AG22" s="127">
        <f t="shared" si="157"/>
        <v>150000</v>
      </c>
      <c r="AH22" s="127">
        <f t="shared" si="158"/>
        <v>5.1760912590556813</v>
      </c>
      <c r="AI22" s="127">
        <f t="shared" si="159"/>
        <v>2.0629595754084047</v>
      </c>
      <c r="AJ22" s="127">
        <f t="shared" si="160"/>
        <v>2</v>
      </c>
      <c r="AK22" s="127">
        <f t="shared" si="161"/>
        <v>3.0453229787866576</v>
      </c>
      <c r="AL22" s="127">
        <f t="shared" si="162"/>
        <v>4.5019757670009808</v>
      </c>
      <c r="AM22" s="127">
        <f t="shared" si="163"/>
        <v>0</v>
      </c>
      <c r="AN22" s="127">
        <f t="shared" si="164"/>
        <v>0.16418619748477847</v>
      </c>
      <c r="AO22" s="127">
        <f t="shared" si="165"/>
        <v>2.6957107444510676E-2</v>
      </c>
      <c r="AP22" s="127">
        <v>105</v>
      </c>
      <c r="AQ22" s="127">
        <v>70</v>
      </c>
      <c r="AR22" s="127">
        <f t="shared" si="166"/>
        <v>35</v>
      </c>
      <c r="AS22" s="127" t="str">
        <f>LOOKUP(AP22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22" s="132">
        <v>105</v>
      </c>
      <c r="AU22" s="132">
        <v>70</v>
      </c>
      <c r="AV22" s="127">
        <f t="shared" si="167"/>
        <v>35</v>
      </c>
      <c r="AW22" s="127">
        <f t="shared" si="168"/>
        <v>0.15</v>
      </c>
      <c r="AX22" s="132" t="str">
        <f t="shared" si="169"/>
        <v>0,0269252990527845</v>
      </c>
      <c r="AY22" s="127">
        <f t="shared" si="170"/>
        <v>4.7519478021304709</v>
      </c>
      <c r="AZ22" s="127">
        <f t="shared" si="171"/>
        <v>46.616607938899918</v>
      </c>
      <c r="BA22" s="127">
        <f t="shared" si="172"/>
        <v>4.9583127800355502</v>
      </c>
      <c r="BB22" s="127">
        <f t="shared" si="173"/>
        <v>0.74126776061531474</v>
      </c>
      <c r="BC22" s="127">
        <f t="shared" si="174"/>
        <v>45.886799509691485</v>
      </c>
      <c r="BD22" s="127">
        <f t="shared" si="175"/>
        <v>0.72129551933958569</v>
      </c>
      <c r="BE22" s="127">
        <f t="shared" si="176"/>
        <v>977.81</v>
      </c>
      <c r="BF22" s="127" t="str">
        <f>LOOKUP(AQ22,{5,10,15,20,25,30,40,50,60,70,80,90,100,125,150},{"0,000181656","0,000156444","0,000136428","0,000120228","0,000106908","0,000095784","0,00007848","0,000065724","0,000056088","0,000048576","0,000042648","0,00003786","0,000033948","0,0000264","0,00002196"})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22" s="136">
        <f t="shared" si="177"/>
        <v>4.8734473977562104E-7</v>
      </c>
      <c r="BH22" s="127">
        <f t="shared" si="178"/>
        <v>977.81</v>
      </c>
      <c r="BI22" s="127">
        <f t="shared" si="179"/>
        <v>222007.78847177405</v>
      </c>
      <c r="BJ22" s="127">
        <f t="shared" si="180"/>
        <v>2.7018234153852773E-2</v>
      </c>
      <c r="BK22" s="135" t="str">
        <f t="shared" si="181"/>
        <v>0,0269252990527845</v>
      </c>
      <c r="BL22" s="127">
        <f t="shared" si="182"/>
        <v>222007.78847177405</v>
      </c>
      <c r="BM22" s="127">
        <f t="shared" si="183"/>
        <v>5.3463682106262285</v>
      </c>
      <c r="BN22" s="127">
        <f t="shared" si="184"/>
        <v>150000</v>
      </c>
      <c r="BO22" s="127">
        <f t="shared" si="185"/>
        <v>5.1760912590556813</v>
      </c>
      <c r="BP22" s="127">
        <f t="shared" si="186"/>
        <v>2.032896821761526</v>
      </c>
      <c r="BQ22" s="127">
        <f t="shared" si="187"/>
        <v>2</v>
      </c>
      <c r="BR22" s="127">
        <f t="shared" si="188"/>
        <v>3.0453229787866576</v>
      </c>
      <c r="BS22" s="127">
        <f t="shared" si="189"/>
        <v>4.3463682106262285</v>
      </c>
      <c r="BT22" s="127">
        <f t="shared" si="190"/>
        <v>0</v>
      </c>
      <c r="BU22" s="127">
        <f t="shared" si="191"/>
        <v>0.16418619748477847</v>
      </c>
      <c r="BV22" s="127">
        <f t="shared" si="192"/>
        <v>2.6957107444510676E-2</v>
      </c>
      <c r="BW22" s="127" t="str">
        <f>LOOKUP(AQ22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22" s="137" t="str">
        <f t="shared" si="193"/>
        <v>0,0269252990527845</v>
      </c>
      <c r="BY22" s="127">
        <f t="shared" si="194"/>
        <v>4.6575221511395881</v>
      </c>
      <c r="BZ22" s="127">
        <f t="shared" si="195"/>
        <v>45.69029230267936</v>
      </c>
      <c r="CA22" s="127">
        <f t="shared" si="196"/>
        <v>4.7632179576191573</v>
      </c>
      <c r="CB22" s="127">
        <f t="shared" si="197"/>
        <v>0.71210108466406408</v>
      </c>
      <c r="CC22" s="138">
        <f t="shared" si="198"/>
        <v>1.4533688452793787</v>
      </c>
      <c r="CD22" s="139" t="e">
        <f>SUM(#REF!,#REF!)</f>
        <v>#REF!</v>
      </c>
      <c r="CE22" s="126" t="e">
        <f>#REF!-BB22</f>
        <v>#REF!</v>
      </c>
      <c r="CF22" s="130" t="e">
        <f>#REF!+CB22</f>
        <v>#REF!</v>
      </c>
      <c r="CG22" s="140" t="e">
        <f t="shared" si="199"/>
        <v>#REF!</v>
      </c>
      <c r="CH22" s="141" t="s">
        <v>81</v>
      </c>
      <c r="CI22" s="127" t="e">
        <f t="shared" si="200"/>
        <v>#REF!</v>
      </c>
      <c r="CJ22" s="127" t="s">
        <v>82</v>
      </c>
      <c r="CK22" s="138" t="str">
        <f>LOOKUP((AP22)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22" s="142" t="e">
        <f t="shared" si="201"/>
        <v>#REF!</v>
      </c>
      <c r="CM22" s="126" t="s">
        <v>82</v>
      </c>
      <c r="CN22" s="127" t="str">
        <f>LOOKUP((AQ22)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22" s="130" t="s">
        <v>83</v>
      </c>
      <c r="CP22" s="126">
        <v>22</v>
      </c>
      <c r="CQ22" s="127">
        <v>20.27</v>
      </c>
      <c r="CR22" s="138">
        <f t="shared" si="202"/>
        <v>-1.7300000000000004</v>
      </c>
      <c r="CS22" s="141">
        <v>5.5</v>
      </c>
      <c r="CT22" s="127">
        <f>CQ22+CS22+5-CP22</f>
        <v>8.77</v>
      </c>
      <c r="CU22" s="138" t="s">
        <v>90</v>
      </c>
      <c r="CV22" s="127">
        <f>$CV$2+CP22-CQ22</f>
        <v>37.730000000000004</v>
      </c>
      <c r="CW22" s="126" t="s">
        <v>82</v>
      </c>
      <c r="CX22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22" s="126">
        <f t="shared" si="203"/>
        <v>4.0644320624999999</v>
      </c>
      <c r="CZ22" s="143" t="e">
        <f t="shared" ref="CZ22" si="206">CD22+CG22</f>
        <v>#REF!</v>
      </c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</row>
    <row r="23" spans="1:124" s="144" customFormat="1" ht="16.5" customHeight="1" x14ac:dyDescent="0.25">
      <c r="A23" s="124" t="s">
        <v>102</v>
      </c>
      <c r="B23" s="125" t="s">
        <v>105</v>
      </c>
      <c r="C23" s="126">
        <v>1.36</v>
      </c>
      <c r="D23" s="126">
        <v>0.16</v>
      </c>
      <c r="E23" s="127">
        <f>(F23-C23)+(G23-D23)</f>
        <v>6.0800000000000021E-2</v>
      </c>
      <c r="F23" s="127">
        <f>C23*1.04</f>
        <v>1.4144000000000001</v>
      </c>
      <c r="G23" s="127">
        <f>D23*1.04</f>
        <v>0.16640000000000002</v>
      </c>
      <c r="H23" s="127">
        <f>F23+G23</f>
        <v>1.5808000000000002</v>
      </c>
      <c r="I23" s="127">
        <f>((F23/(AP23-AQ23))+(G23/(AT23-AU23)))*1000</f>
        <v>45.165714285714294</v>
      </c>
      <c r="J23" s="128">
        <f>I23/AS23</f>
        <v>47.127146106674068</v>
      </c>
      <c r="K23" s="129">
        <v>159</v>
      </c>
      <c r="L23" s="127" t="s">
        <v>11</v>
      </c>
      <c r="M23" s="130">
        <v>4.5</v>
      </c>
      <c r="N23" s="131">
        <v>48</v>
      </c>
      <c r="O23" s="127" t="str">
        <f>IF(K23&lt;159,"0,3",IF((K23&gt;159),"0,4","0,3"))</f>
        <v>0,3</v>
      </c>
      <c r="P23" s="127">
        <f>N23*(1+O23)</f>
        <v>62.400000000000006</v>
      </c>
      <c r="Q23" s="127">
        <f>(J23/3600)/R23</f>
        <v>0.74079255230748065</v>
      </c>
      <c r="R23" s="127">
        <f>(3.14159*AW23^2)/4</f>
        <v>1.7671443749999998E-2</v>
      </c>
      <c r="S23" s="127" t="str">
        <f>IF(T23="сталь","0,0005",IF((T23="изола"),"0,000007"))</f>
        <v>0,0005</v>
      </c>
      <c r="T23" s="127" t="s">
        <v>79</v>
      </c>
      <c r="U23" s="127" t="s">
        <v>80</v>
      </c>
      <c r="V23" s="127">
        <f>Y23</f>
        <v>958.38</v>
      </c>
      <c r="W23" s="132" t="str">
        <f>LOOKUP(AP23,{5,10,15,20,25,30,40,50,60,70,80,90,100,125,150},{"0,000181656","0,000156444","0,000136428","0,000120228","0,000106908","0,000095784","0,00007848","0,000065724","0,000056088","0,000048576","0,000042648","0,00003786","0,000033948","0,0000264","0,00002196"})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23" s="133">
        <f>(W23*9.81)/V23</f>
        <v>3.4749251862518006E-7</v>
      </c>
      <c r="Y23" s="127">
        <f>AS23*1000</f>
        <v>958.38</v>
      </c>
      <c r="Z23" s="134">
        <f>(Q23*AW23)/X23</f>
        <v>319773.45378758945</v>
      </c>
      <c r="AA23" s="134">
        <f>560*AW23/S23</f>
        <v>168000</v>
      </c>
      <c r="AB23" s="127">
        <f>0.11*(((S23/AW23)+(68/Z23))^0.25)</f>
        <v>2.6842741830347371E-2</v>
      </c>
      <c r="AC23" s="127">
        <f>1/(1.14+2*LOG(AW23/S23))^2</f>
        <v>2.6925299052784474E-2</v>
      </c>
      <c r="AD23" s="135" t="str">
        <f>IF(Z23&lt;AA23,""&amp;AB23,IF((Z23&gt;AA23),""&amp;AC23))</f>
        <v>0,0269252990527845</v>
      </c>
      <c r="AE23" s="127">
        <f>(Q23*AW23)/X23</f>
        <v>319773.45378758945</v>
      </c>
      <c r="AF23" s="127">
        <f>LOG10(AE23)</f>
        <v>5.5048424076525837</v>
      </c>
      <c r="AG23" s="127">
        <f>(500*AW23)/S23</f>
        <v>150000</v>
      </c>
      <c r="AH23" s="127">
        <f>LOG10(AG23)</f>
        <v>5.1760912590556813</v>
      </c>
      <c r="AI23" s="127">
        <f>(AF23/AH23)+1</f>
        <v>2.0635133988454601</v>
      </c>
      <c r="AJ23" s="127">
        <f>IF(AI23&gt;2,2,AI23)</f>
        <v>2</v>
      </c>
      <c r="AK23" s="127">
        <f>LOG10((3.7*AW23)/S23)</f>
        <v>3.0453229787866576</v>
      </c>
      <c r="AL23" s="127">
        <f>AF23-1</f>
        <v>4.5048424076525837</v>
      </c>
      <c r="AM23" s="127">
        <f>(1.312*(2-AJ23)*AK23)/AL23</f>
        <v>0</v>
      </c>
      <c r="AN23" s="127">
        <f>(0.5*((AJ23/2)+AM23))/AK23</f>
        <v>0.16418619748477847</v>
      </c>
      <c r="AO23" s="127">
        <f>AN23*AN23</f>
        <v>2.6957107444510676E-2</v>
      </c>
      <c r="AP23" s="127">
        <v>105</v>
      </c>
      <c r="AQ23" s="127">
        <v>70</v>
      </c>
      <c r="AR23" s="127">
        <f>AP23-AQ23</f>
        <v>35</v>
      </c>
      <c r="AS23" s="127" t="str">
        <f>LOOKUP(AP23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23" s="132">
        <v>105</v>
      </c>
      <c r="AU23" s="132">
        <v>70</v>
      </c>
      <c r="AV23" s="127">
        <f>AT23-AU23</f>
        <v>35</v>
      </c>
      <c r="AW23" s="127">
        <f>(K23-(M23*2))/1000</f>
        <v>0.15</v>
      </c>
      <c r="AX23" s="132" t="str">
        <f>IF(T23="изола",AO23,AD23)</f>
        <v>0,0269252990527845</v>
      </c>
      <c r="AY23" s="127">
        <f>(0.00638*AX23*(I23^2))/((AW23^5)*V23)</f>
        <v>4.8150959177414343</v>
      </c>
      <c r="AZ23" s="127">
        <f>AY23*9.81</f>
        <v>47.236090953043472</v>
      </c>
      <c r="BA23" s="127">
        <f>(AZ23/9.81/Y23)*1000</f>
        <v>5.0242032573107061</v>
      </c>
      <c r="BB23" s="127">
        <f>BA23*P23/1000</f>
        <v>0.31351028325618807</v>
      </c>
      <c r="BC23" s="127">
        <f>I23/BW23</f>
        <v>46.19068559915965</v>
      </c>
      <c r="BD23" s="127">
        <f>(BC23/3600)/R23</f>
        <v>0.72607231085839097</v>
      </c>
      <c r="BE23" s="127">
        <f>BH23</f>
        <v>977.81</v>
      </c>
      <c r="BF23" s="127" t="str">
        <f>LOOKUP(AQ23,{5,10,15,20,25,30,40,50,60,70,80,90,100,125,150},{"0,000181656","0,000156444","0,000136428","0,000120228","0,000106908","0,000095784","0,00007848","0,000065724","0,000056088","0,000048576","0,000042648","0,00003786","0,000033948","0,0000264","0,00002196"})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23" s="136">
        <f>(BF23*9.81)/BE23</f>
        <v>4.8734473977562104E-7</v>
      </c>
      <c r="BH23" s="127">
        <f>BW23*1000</f>
        <v>977.81</v>
      </c>
      <c r="BI23" s="127">
        <f>(BD23*AW23)/BG23</f>
        <v>223478.03872655405</v>
      </c>
      <c r="BJ23" s="127">
        <f>0.11*(((S23/AW23)+(68/BI23))^0.25)</f>
        <v>2.7014493675305187E-2</v>
      </c>
      <c r="BK23" s="135" t="str">
        <f>IF(BI23&lt;AA23,""&amp;BJ23,IF((BI23&gt;AA23),""&amp;AC23))</f>
        <v>0,0269252990527845</v>
      </c>
      <c r="BL23" s="127">
        <f>(BD23*AW23)/BG23</f>
        <v>223478.03872655405</v>
      </c>
      <c r="BM23" s="127">
        <f>LOG10(BL23)</f>
        <v>5.3492348512778323</v>
      </c>
      <c r="BN23" s="127">
        <f>(500*AW23)/S23</f>
        <v>150000</v>
      </c>
      <c r="BO23" s="127">
        <f>LOG10(BN23)</f>
        <v>5.1760912590556813</v>
      </c>
      <c r="BP23" s="127">
        <f>(BM23/BO23)+1</f>
        <v>2.0334506451985819</v>
      </c>
      <c r="BQ23" s="127">
        <f>IF(BP23&gt;2,2,BP23)</f>
        <v>2</v>
      </c>
      <c r="BR23" s="127">
        <f>LOG10((3.7*AW23)/S23)</f>
        <v>3.0453229787866576</v>
      </c>
      <c r="BS23" s="127">
        <f>BM23-1</f>
        <v>4.3492348512778323</v>
      </c>
      <c r="BT23" s="127">
        <f>(1.312*(2-BQ23)*BR23)/BS23</f>
        <v>0</v>
      </c>
      <c r="BU23" s="127">
        <f>(0.5*((BQ23/2)+BT23))/BR23</f>
        <v>0.16418619748477847</v>
      </c>
      <c r="BV23" s="127">
        <f>BU23*BU23</f>
        <v>2.6957107444510676E-2</v>
      </c>
      <c r="BW23" s="127" t="str">
        <f>LOOKUP(AQ23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23" s="137" t="str">
        <f>IF(T23="изола",BV23,BK23)</f>
        <v>0,0269252990527845</v>
      </c>
      <c r="BY23" s="127">
        <f>(0.00638*BX23*(I23^2))/((AW23^5)*BE23)</f>
        <v>4.719415454582216</v>
      </c>
      <c r="BZ23" s="127">
        <f>BY23*9.81</f>
        <v>46.297465609451542</v>
      </c>
      <c r="CA23" s="127">
        <f>(BZ23/9.81/BH23)*1000</f>
        <v>4.82651584109614</v>
      </c>
      <c r="CB23" s="127">
        <f>CA23*P23/1000</f>
        <v>0.30117458848439915</v>
      </c>
      <c r="CC23" s="138">
        <f>BB23+CB23</f>
        <v>0.61468487174058728</v>
      </c>
      <c r="CD23" s="139" t="e">
        <f>SUM(CC1,#REF!,CC23)</f>
        <v>#REF!</v>
      </c>
      <c r="CE23" s="126" t="e">
        <f>#REF!-BB23</f>
        <v>#REF!</v>
      </c>
      <c r="CF23" s="130" t="e">
        <f>#REF!+CB23</f>
        <v>#REF!</v>
      </c>
      <c r="CG23" s="140" t="e">
        <f>CE23-CF23</f>
        <v>#REF!</v>
      </c>
      <c r="CH23" s="141" t="s">
        <v>81</v>
      </c>
      <c r="CI23" s="127" t="e">
        <f>CE23-CR23</f>
        <v>#REF!</v>
      </c>
      <c r="CJ23" s="127" t="s">
        <v>82</v>
      </c>
      <c r="CK23" s="138" t="str">
        <f>LOOKUP((AP23)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23" s="142" t="e">
        <f>CF23-CR23</f>
        <v>#REF!</v>
      </c>
      <c r="CM23" s="126" t="s">
        <v>82</v>
      </c>
      <c r="CN23" s="127" t="str">
        <f>LOOKUP((AQ23)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23" s="130" t="s">
        <v>83</v>
      </c>
      <c r="CP23" s="126">
        <v>22</v>
      </c>
      <c r="CQ23" s="127">
        <v>20.27</v>
      </c>
      <c r="CR23" s="138">
        <f>CQ23-CP23</f>
        <v>-1.7300000000000004</v>
      </c>
      <c r="CS23" s="141">
        <v>5.5</v>
      </c>
      <c r="CT23" s="127">
        <f>CQ23+CS23+5-CP23</f>
        <v>8.77</v>
      </c>
      <c r="CU23" s="138" t="s">
        <v>90</v>
      </c>
      <c r="CV23" s="127">
        <f>$CV$2+CP23-CQ23</f>
        <v>37.730000000000004</v>
      </c>
      <c r="CW23" s="126" t="s">
        <v>82</v>
      </c>
      <c r="CX23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23" s="126">
        <f>N23*R23*2</f>
        <v>1.6964585999999997</v>
      </c>
      <c r="CZ23" s="143" t="e">
        <f>CD23+CG23</f>
        <v>#REF!</v>
      </c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</row>
    <row r="24" spans="1:124" s="144" customFormat="1" ht="16.5" customHeight="1" x14ac:dyDescent="0.25">
      <c r="A24" s="124" t="s">
        <v>99</v>
      </c>
      <c r="B24" s="125" t="s">
        <v>106</v>
      </c>
      <c r="C24" s="126">
        <v>0.38</v>
      </c>
      <c r="D24" s="126">
        <v>0.17</v>
      </c>
      <c r="E24" s="127">
        <f>(F24-C24)+(G24-D24)</f>
        <v>2.1999999999999992E-2</v>
      </c>
      <c r="F24" s="127">
        <f>C24*1.04</f>
        <v>0.3952</v>
      </c>
      <c r="G24" s="127">
        <f>D24*1.04</f>
        <v>0.17680000000000001</v>
      </c>
      <c r="H24" s="127">
        <f>F24+G24</f>
        <v>0.57200000000000006</v>
      </c>
      <c r="I24" s="127">
        <f>((F24/(AP24-AQ24))+(G24/(AT24-AU24)))*1000</f>
        <v>16.342857142857145</v>
      </c>
      <c r="J24" s="128">
        <f>I24/AS24</f>
        <v>17.052585762283378</v>
      </c>
      <c r="K24" s="129">
        <v>108</v>
      </c>
      <c r="L24" s="127" t="s">
        <v>11</v>
      </c>
      <c r="M24" s="130">
        <v>4</v>
      </c>
      <c r="N24" s="131">
        <v>51</v>
      </c>
      <c r="O24" s="127" t="str">
        <f>IF(K24&lt;159,"0,3",IF((K24&gt;159),"0,4","0,3"))</f>
        <v>0,3</v>
      </c>
      <c r="P24" s="127">
        <f>N24*(1+O24)</f>
        <v>66.3</v>
      </c>
      <c r="Q24" s="127">
        <f>(J24/3600)/R24</f>
        <v>0.60311235755296511</v>
      </c>
      <c r="R24" s="127">
        <f>(3.14159*AW24^2)/4</f>
        <v>7.8539750000000009E-3</v>
      </c>
      <c r="S24" s="127" t="str">
        <f>IF(T24="сталь","0,0005",IF((T24="изола"),"0,000007"))</f>
        <v>0,0005</v>
      </c>
      <c r="T24" s="127" t="s">
        <v>79</v>
      </c>
      <c r="U24" s="127" t="s">
        <v>80</v>
      </c>
      <c r="V24" s="127">
        <f>Y24</f>
        <v>958.38</v>
      </c>
      <c r="W24" s="132" t="str">
        <f>LOOKUP(AP24,{5,10,15,20,25,30,40,50,60,70,80,90,100,125,150},{"0,000181656","0,000156444","0,000136428","0,000120228","0,000106908","0,000095784","0,00007848","0,000065724","0,000056088","0,000048576","0,000042648","0,00003786","0,000033948","0,0000264","0,00002196"})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24" s="133">
        <f>(W24*9.81)/V24</f>
        <v>3.4749251862518006E-7</v>
      </c>
      <c r="Y24" s="127">
        <f>AS24*1000</f>
        <v>958.38</v>
      </c>
      <c r="Z24" s="134">
        <f>(Q24*AW24)/X24</f>
        <v>173561.24958865871</v>
      </c>
      <c r="AA24" s="134">
        <f>560*AW24/S24</f>
        <v>112000</v>
      </c>
      <c r="AB24" s="127">
        <f>0.11*(((S24/AW24)+(68/Z24))^0.25)</f>
        <v>2.9807529209351962E-2</v>
      </c>
      <c r="AC24" s="127">
        <f>1/(1.14+2*LOG(AW24/S24))^2</f>
        <v>3.0329450982592862E-2</v>
      </c>
      <c r="AD24" s="135" t="str">
        <f>IF(Z24&lt;AA24,""&amp;AB24,IF((Z24&gt;AA24),""&amp;AC24))</f>
        <v>0,0303294509825929</v>
      </c>
      <c r="AE24" s="127">
        <f>(Q24*AW24)/X24</f>
        <v>173561.24958865871</v>
      </c>
      <c r="AF24" s="127">
        <f>LOG10(AE24)</f>
        <v>5.2394527682577365</v>
      </c>
      <c r="AG24" s="127">
        <f>(500*AW24)/S24</f>
        <v>100000</v>
      </c>
      <c r="AH24" s="127">
        <f>LOG10(AG24)</f>
        <v>5</v>
      </c>
      <c r="AI24" s="127">
        <f>(AF24/AH24)+1</f>
        <v>2.0478905536515475</v>
      </c>
      <c r="AJ24" s="127">
        <f>IF(AI24&gt;2,2,AI24)</f>
        <v>2</v>
      </c>
      <c r="AK24" s="127">
        <f>LOG10((3.7*AW24)/S24)</f>
        <v>2.8692317197309762</v>
      </c>
      <c r="AL24" s="127">
        <f>AF24-1</f>
        <v>4.2394527682577365</v>
      </c>
      <c r="AM24" s="127">
        <f>(1.312*(2-AJ24)*AK24)/AL24</f>
        <v>0</v>
      </c>
      <c r="AN24" s="127">
        <f>(0.5*((AJ24/2)+AM24))/AK24</f>
        <v>0.17426267685583818</v>
      </c>
      <c r="AO24" s="127">
        <f>AN24*AN24</f>
        <v>3.0367480544962282E-2</v>
      </c>
      <c r="AP24" s="127">
        <v>105</v>
      </c>
      <c r="AQ24" s="127">
        <v>70</v>
      </c>
      <c r="AR24" s="127">
        <f>AP24-AQ24</f>
        <v>35</v>
      </c>
      <c r="AS24" s="132" t="str">
        <f>LOOKUP(AP24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24" s="132">
        <v>105</v>
      </c>
      <c r="AU24" s="132">
        <v>70</v>
      </c>
      <c r="AV24" s="127">
        <f>AT24-AU24</f>
        <v>35</v>
      </c>
      <c r="AW24" s="127">
        <f>(K24-(M24*2))/1000</f>
        <v>0.1</v>
      </c>
      <c r="AX24" s="132" t="str">
        <f>IF(T24="изола",AO24,AD24)</f>
        <v>0,0303294509825929</v>
      </c>
      <c r="AY24" s="127">
        <f>(0.00638*AX24*(I24^2))/((AW24^5)*V24)</f>
        <v>5.3926651527208742</v>
      </c>
      <c r="AZ24" s="127">
        <f>AY24*9.81</f>
        <v>52.902045148191782</v>
      </c>
      <c r="BA24" s="127">
        <f>(AZ24/9.81/Y24)*1000</f>
        <v>5.6268548516463976</v>
      </c>
      <c r="BB24" s="127">
        <f>BA24*P24/1000</f>
        <v>0.37306047666415615</v>
      </c>
      <c r="BC24" s="127">
        <f>I24/BW24</f>
        <v>16.713734920748557</v>
      </c>
      <c r="BD24" s="127">
        <f>(BC24/3600)/R24</f>
        <v>0.59112795045214384</v>
      </c>
      <c r="BE24" s="127">
        <f>BH24</f>
        <v>977.81</v>
      </c>
      <c r="BF24" s="127" t="str">
        <f>LOOKUP(AQ24,{5,10,15,20,25,30,40,50,60,70,80,90,100,125,150},{"0,000181656","0,000156444","0,000136428","0,000120228","0,000106908","0,000095784","0,00007848","0,000065724","0,000056088","0,000048576","0,000042648","0,00003786","0,000033948","0,0000264","0,00002196"})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24" s="136">
        <f>(BF24*9.81)/BE24</f>
        <v>4.8734473977562104E-7</v>
      </c>
      <c r="BH24" s="127">
        <f>BW24*1000</f>
        <v>977.81</v>
      </c>
      <c r="BI24" s="127">
        <f>(BD24*AW24)/BG24</f>
        <v>121295.64601934675</v>
      </c>
      <c r="BJ24" s="127">
        <f>0.11*(((S24/AW24)+(68/BI24))^0.25)</f>
        <v>3.003816277317696E-2</v>
      </c>
      <c r="BK24" s="135" t="str">
        <f>IF(BI24&lt;AA24,""&amp;BJ24,IF((BI24&gt;AA24),""&amp;AC24))</f>
        <v>0,0303294509825929</v>
      </c>
      <c r="BL24" s="127">
        <f>(BD24*AW24)/BG24</f>
        <v>121295.64601934675</v>
      </c>
      <c r="BM24" s="127">
        <f>LOG10(BL24)</f>
        <v>5.0838452118829842</v>
      </c>
      <c r="BN24" s="127">
        <f>(500*AW24)/S24</f>
        <v>100000</v>
      </c>
      <c r="BO24" s="127">
        <f>LOG10(BN24)</f>
        <v>5</v>
      </c>
      <c r="BP24" s="127">
        <f>(BM24/BO24)+1</f>
        <v>2.0167690423765969</v>
      </c>
      <c r="BQ24" s="127">
        <f>IF(BP24&gt;2,2,BP24)</f>
        <v>2</v>
      </c>
      <c r="BR24" s="127">
        <f>LOG10((3.7*AW24)/S24)</f>
        <v>2.8692317197309762</v>
      </c>
      <c r="BS24" s="127">
        <f>BM24-1</f>
        <v>4.0838452118829842</v>
      </c>
      <c r="BT24" s="127">
        <f>(1.312*(2-BQ24)*BR24)/BS24</f>
        <v>0</v>
      </c>
      <c r="BU24" s="127">
        <f>(0.5*((BQ24/2)+BT24))/BR24</f>
        <v>0.17426267685583818</v>
      </c>
      <c r="BV24" s="127">
        <f>BU24*BU24</f>
        <v>3.0367480544962282E-2</v>
      </c>
      <c r="BW24" s="127" t="str">
        <f>LOOKUP(AQ24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24" s="137" t="str">
        <f>IF(T24="изола",BV24,BK24)</f>
        <v>0,0303294509825929</v>
      </c>
      <c r="BY24" s="127">
        <f>(0.00638*BX24*(I24^2))/((AW24^5)*BE24)</f>
        <v>5.2855078482165565</v>
      </c>
      <c r="BZ24" s="127">
        <f>BY24*9.81</f>
        <v>51.850831991004419</v>
      </c>
      <c r="CA24" s="127">
        <f>(BZ24/9.81/BH24)*1000</f>
        <v>5.4054548922761647</v>
      </c>
      <c r="CB24" s="127">
        <f>CA24*P24/1000</f>
        <v>0.35838165935790972</v>
      </c>
      <c r="CC24" s="138">
        <f>BB24+CB24</f>
        <v>0.73144213602206587</v>
      </c>
      <c r="CD24" s="139" t="e">
        <f>SUM(#REF!,#REF!,CC24)</f>
        <v>#REF!</v>
      </c>
      <c r="CE24" s="126" t="e">
        <f>#REF!-BB24</f>
        <v>#REF!</v>
      </c>
      <c r="CF24" s="130" t="e">
        <f>#REF!+CB24</f>
        <v>#REF!</v>
      </c>
      <c r="CG24" s="140" t="e">
        <f>CE24-CF24</f>
        <v>#REF!</v>
      </c>
      <c r="CH24" s="141" t="s">
        <v>81</v>
      </c>
      <c r="CI24" s="127" t="e">
        <f>CE24-CR24</f>
        <v>#REF!</v>
      </c>
      <c r="CJ24" s="127" t="s">
        <v>82</v>
      </c>
      <c r="CK24" s="138" t="str">
        <f>LOOKUP((AP24)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24" s="142" t="e">
        <f>CF24-CR24</f>
        <v>#REF!</v>
      </c>
      <c r="CM24" s="126" t="s">
        <v>82</v>
      </c>
      <c r="CN24" s="127" t="str">
        <f>LOOKUP((AQ24)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24" s="130" t="s">
        <v>83</v>
      </c>
      <c r="CP24" s="126">
        <v>22</v>
      </c>
      <c r="CQ24" s="127">
        <v>20.27</v>
      </c>
      <c r="CR24" s="138">
        <f>CQ24-CP24</f>
        <v>-1.7300000000000004</v>
      </c>
      <c r="CS24" s="141">
        <v>5.5</v>
      </c>
      <c r="CT24" s="127">
        <f>CQ24+CS24+5-CP24</f>
        <v>8.77</v>
      </c>
      <c r="CU24" s="138" t="s">
        <v>90</v>
      </c>
      <c r="CV24" s="127">
        <f>$CV$2+CP24-CQ24</f>
        <v>37.730000000000004</v>
      </c>
      <c r="CW24" s="126" t="s">
        <v>82</v>
      </c>
      <c r="CX24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24" s="126">
        <f>N24*R24*2</f>
        <v>0.80110545000000011</v>
      </c>
      <c r="CZ24" s="143" t="e">
        <f>CD24+CG24</f>
        <v>#REF!</v>
      </c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</row>
    <row r="25" spans="1:124" s="123" customFormat="1" ht="16.5" customHeight="1" x14ac:dyDescent="0.25">
      <c r="A25" s="103" t="s">
        <v>107</v>
      </c>
      <c r="B25" s="104"/>
      <c r="C25" s="104"/>
      <c r="D25" s="104"/>
      <c r="E25" s="104"/>
      <c r="F25" s="104"/>
      <c r="G25" s="104"/>
      <c r="H25" s="104"/>
      <c r="I25" s="104"/>
      <c r="J25" s="105"/>
      <c r="K25" s="106"/>
      <c r="L25" s="107"/>
      <c r="M25" s="108"/>
      <c r="N25" s="109"/>
      <c r="O25" s="107"/>
      <c r="P25" s="107"/>
      <c r="Q25" s="107"/>
      <c r="R25" s="107"/>
      <c r="S25" s="107"/>
      <c r="T25" s="107"/>
      <c r="U25" s="107"/>
      <c r="V25" s="107"/>
      <c r="W25" s="110"/>
      <c r="X25" s="111"/>
      <c r="Y25" s="107"/>
      <c r="Z25" s="112"/>
      <c r="AA25" s="112"/>
      <c r="AB25" s="107"/>
      <c r="AC25" s="107"/>
      <c r="AD25" s="113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0"/>
      <c r="AT25" s="110"/>
      <c r="AU25" s="110"/>
      <c r="AV25" s="107"/>
      <c r="AW25" s="107"/>
      <c r="AX25" s="110"/>
      <c r="AY25" s="107"/>
      <c r="AZ25" s="107"/>
      <c r="BA25" s="107"/>
      <c r="BB25" s="107"/>
      <c r="BC25" s="107"/>
      <c r="BD25" s="107"/>
      <c r="BE25" s="107"/>
      <c r="BF25" s="107"/>
      <c r="BG25" s="114"/>
      <c r="BH25" s="107"/>
      <c r="BI25" s="107"/>
      <c r="BJ25" s="107"/>
      <c r="BK25" s="113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15"/>
      <c r="BY25" s="107"/>
      <c r="BZ25" s="107"/>
      <c r="CA25" s="107"/>
      <c r="CB25" s="107"/>
      <c r="CC25" s="116"/>
      <c r="CD25" s="117"/>
      <c r="CE25" s="118"/>
      <c r="CF25" s="108"/>
      <c r="CG25" s="119"/>
      <c r="CH25" s="120"/>
      <c r="CI25" s="107"/>
      <c r="CJ25" s="107"/>
      <c r="CK25" s="116"/>
      <c r="CL25" s="121"/>
      <c r="CM25" s="118"/>
      <c r="CN25" s="107"/>
      <c r="CO25" s="108"/>
      <c r="CP25" s="118"/>
      <c r="CQ25" s="107"/>
      <c r="CR25" s="116"/>
      <c r="CS25" s="120"/>
      <c r="CT25" s="107"/>
      <c r="CU25" s="116"/>
      <c r="CV25" s="107"/>
      <c r="CW25" s="118"/>
      <c r="CX25" s="119"/>
      <c r="CY25" s="118"/>
      <c r="CZ25" s="122"/>
      <c r="DA25" s="122"/>
      <c r="DB25" s="122"/>
      <c r="DC25" s="122"/>
      <c r="DD25" s="122"/>
      <c r="DE25" s="122"/>
      <c r="DF25" s="122"/>
      <c r="DG25" s="122"/>
      <c r="DH25" s="122"/>
      <c r="DI25" s="122"/>
      <c r="DJ25" s="122"/>
      <c r="DK25" s="122"/>
      <c r="DL25" s="122"/>
      <c r="DM25" s="122"/>
      <c r="DN25" s="122"/>
      <c r="DO25" s="122"/>
      <c r="DP25" s="122"/>
      <c r="DQ25" s="122"/>
      <c r="DR25" s="122"/>
      <c r="DS25" s="122"/>
      <c r="DT25" s="122"/>
    </row>
    <row r="26" spans="1:124" s="144" customFormat="1" ht="16.5" customHeight="1" x14ac:dyDescent="0.25">
      <c r="A26" s="124" t="s">
        <v>103</v>
      </c>
      <c r="B26" s="125" t="s">
        <v>108</v>
      </c>
      <c r="C26" s="126">
        <v>0.33</v>
      </c>
      <c r="D26" s="126">
        <v>0.05</v>
      </c>
      <c r="E26" s="127">
        <f t="shared" ref="E26:E29" si="207">(F26-C26)+(G26-D26)</f>
        <v>1.5199999999999991E-2</v>
      </c>
      <c r="F26" s="127">
        <f t="shared" ref="F26:G29" si="208">C26*1.04</f>
        <v>0.34320000000000001</v>
      </c>
      <c r="G26" s="127">
        <f t="shared" si="208"/>
        <v>5.2000000000000005E-2</v>
      </c>
      <c r="H26" s="127">
        <f t="shared" ref="H26:H29" si="209">F26+G26</f>
        <v>0.3952</v>
      </c>
      <c r="I26" s="127">
        <f t="shared" ref="I26:I29" si="210">((F26/(AP26-AQ26))+(G26/(AT26-AU26)))*1000</f>
        <v>11.291428571428572</v>
      </c>
      <c r="J26" s="128">
        <f t="shared" ref="J26:J29" si="211">I26/AS26</f>
        <v>11.781786526668515</v>
      </c>
      <c r="K26" s="129">
        <v>108</v>
      </c>
      <c r="L26" s="127" t="s">
        <v>11</v>
      </c>
      <c r="M26" s="130">
        <v>4</v>
      </c>
      <c r="N26" s="131">
        <v>15</v>
      </c>
      <c r="O26" s="127" t="str">
        <f t="shared" ref="O26:O29" si="212">IF(K26&lt;159,"0,3",IF((K26&gt;159),"0,4","0,3"))</f>
        <v>0,3</v>
      </c>
      <c r="P26" s="127">
        <f t="shared" ref="P26:P29" si="213">N26*(1+O26)</f>
        <v>19.5</v>
      </c>
      <c r="Q26" s="127">
        <f t="shared" ref="Q26:Q29" si="214">(J26/3600)/R26</f>
        <v>0.41669581067295769</v>
      </c>
      <c r="R26" s="127">
        <f t="shared" ref="R26:R29" si="215">(3.14159*AW26^2)/4</f>
        <v>7.8539750000000009E-3</v>
      </c>
      <c r="S26" s="127" t="str">
        <f t="shared" ref="S26:S29" si="216">IF(T26="сталь","0,0005",IF((T26="изола"),"0,000007"))</f>
        <v>0,0005</v>
      </c>
      <c r="T26" s="127" t="s">
        <v>79</v>
      </c>
      <c r="U26" s="127" t="s">
        <v>80</v>
      </c>
      <c r="V26" s="127">
        <f t="shared" ref="V26:V29" si="217">Y26</f>
        <v>958.38</v>
      </c>
      <c r="W26" s="132" t="str">
        <f>LOOKUP(AP26,{5,10,15,20,25,30,40,50,60,70,80,90,100,125,150},{"0,000181656","0,000156444","0,000136428","0,000120228","0,000106908","0,000095784","0,00007848","0,000065724","0,000056088","0,000048576","0,000042648","0,00003786","0,000033948","0,0000264","0,00002196"})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26" s="133">
        <f t="shared" ref="X26:X29" si="218">(W26*9.81)/V26</f>
        <v>3.4749251862518006E-7</v>
      </c>
      <c r="Y26" s="127">
        <f t="shared" ref="Y26:Y29" si="219">AS26*1000</f>
        <v>958.38</v>
      </c>
      <c r="Z26" s="134">
        <f t="shared" ref="Z26:Z29" si="220">(Q26*AW26)/X26</f>
        <v>119915.04517034601</v>
      </c>
      <c r="AA26" s="134">
        <f t="shared" ref="AA26:AA29" si="221">560*AW26/S26</f>
        <v>112000</v>
      </c>
      <c r="AB26" s="127">
        <f t="shared" ref="AB26:AB29" si="222">0.11*(((S26/AW26)+(68/Z26))^0.25)</f>
        <v>3.0046875615603052E-2</v>
      </c>
      <c r="AC26" s="127">
        <f t="shared" ref="AC26:AC29" si="223">1/(1.14+2*LOG(AW26/S26))^2</f>
        <v>3.0329450982592862E-2</v>
      </c>
      <c r="AD26" s="135" t="str">
        <f t="shared" ref="AD26:AD29" si="224">IF(Z26&lt;AA26,""&amp;AB26,IF((Z26&gt;AA26),""&amp;AC26))</f>
        <v>0,0303294509825929</v>
      </c>
      <c r="AE26" s="127">
        <f t="shared" ref="AE26:AE29" si="225">(Q26*AW26)/X26</f>
        <v>119915.04517034601</v>
      </c>
      <c r="AF26" s="127">
        <f t="shared" ref="AF26:AF29" si="226">LOG10(AE26)</f>
        <v>5.0788736753803025</v>
      </c>
      <c r="AG26" s="127">
        <f t="shared" ref="AG26:AG29" si="227">(500*AW26)/S26</f>
        <v>100000</v>
      </c>
      <c r="AH26" s="127">
        <f t="shared" ref="AH26:AH29" si="228">LOG10(AG26)</f>
        <v>5</v>
      </c>
      <c r="AI26" s="127">
        <f t="shared" ref="AI26:AI29" si="229">(AF26/AH26)+1</f>
        <v>2.0157747350760604</v>
      </c>
      <c r="AJ26" s="127">
        <f t="shared" ref="AJ26:AJ29" si="230">IF(AI26&gt;2,2,AI26)</f>
        <v>2</v>
      </c>
      <c r="AK26" s="127">
        <f t="shared" ref="AK26:AK29" si="231">LOG10((3.7*AW26)/S26)</f>
        <v>2.8692317197309762</v>
      </c>
      <c r="AL26" s="127">
        <f t="shared" ref="AL26:AL29" si="232">AF26-1</f>
        <v>4.0788736753803025</v>
      </c>
      <c r="AM26" s="127">
        <f t="shared" ref="AM26:AM29" si="233">(1.312*(2-AJ26)*AK26)/AL26</f>
        <v>0</v>
      </c>
      <c r="AN26" s="127">
        <f t="shared" ref="AN26:AN29" si="234">(0.5*((AJ26/2)+AM26))/AK26</f>
        <v>0.17426267685583818</v>
      </c>
      <c r="AO26" s="127">
        <f t="shared" ref="AO26:AO29" si="235">AN26*AN26</f>
        <v>3.0367480544962282E-2</v>
      </c>
      <c r="AP26" s="127">
        <v>105</v>
      </c>
      <c r="AQ26" s="127">
        <v>70</v>
      </c>
      <c r="AR26" s="127">
        <f t="shared" ref="AR26:AR29" si="236">AP26-AQ26</f>
        <v>35</v>
      </c>
      <c r="AS26" s="127" t="str">
        <f>LOOKUP(AP26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26" s="132">
        <v>105</v>
      </c>
      <c r="AU26" s="132">
        <v>70</v>
      </c>
      <c r="AV26" s="127">
        <f t="shared" ref="AV26:AV29" si="237">AT26-AU26</f>
        <v>35</v>
      </c>
      <c r="AW26" s="127">
        <f t="shared" ref="AW26:AW29" si="238">(K26-(M26*2))/1000</f>
        <v>0.1</v>
      </c>
      <c r="AX26" s="132" t="str">
        <f t="shared" ref="AX26:AX29" si="239">IF(T26="изола",AO26,AD26)</f>
        <v>0,0303294509825929</v>
      </c>
      <c r="AY26" s="127">
        <f t="shared" ref="AY26:AY29" si="240">(0.00638*AX26*(I26^2))/((AW26^5)*V26)</f>
        <v>2.5742176795136995</v>
      </c>
      <c r="AZ26" s="127">
        <f t="shared" ref="AZ26:AZ29" si="241">AY26*9.81</f>
        <v>25.253075436029395</v>
      </c>
      <c r="BA26" s="127">
        <f t="shared" ref="BA26:BA29" si="242">(AZ26/9.81/Y26)*1000</f>
        <v>2.6860093903396352</v>
      </c>
      <c r="BB26" s="127">
        <f t="shared" ref="BB26:BB29" si="243">BA26*P26/1000</f>
        <v>5.2377183111622885E-2</v>
      </c>
      <c r="BC26" s="127">
        <f t="shared" ref="BC26:BC29" si="244">I26/BW26</f>
        <v>11.547671399789911</v>
      </c>
      <c r="BD26" s="127">
        <f t="shared" ref="BD26:BD29" si="245">(BC26/3600)/R26</f>
        <v>0.4084156748578448</v>
      </c>
      <c r="BE26" s="127">
        <f t="shared" ref="BE26:BE29" si="246">BH26</f>
        <v>977.81</v>
      </c>
      <c r="BF26" s="127" t="str">
        <f>LOOKUP(AQ26,{5,10,15,20,25,30,40,50,60,70,80,90,100,125,150},{"0,000181656","0,000156444","0,000136428","0,000120228","0,000106908","0,000095784","0,00007848","0,000065724","0,000056088","0,000048576","0,000042648","0,00003786","0,000033948","0,0000264","0,00002196"})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26" s="136">
        <f t="shared" ref="BG26:BG29" si="247">(BF26*9.81)/BE26</f>
        <v>4.8734473977562104E-7</v>
      </c>
      <c r="BH26" s="127">
        <f t="shared" ref="BH26:BH29" si="248">BW26*1000</f>
        <v>977.81</v>
      </c>
      <c r="BI26" s="127">
        <f t="shared" ref="BI26:BI29" si="249">(BD26*AW26)/BG26</f>
        <v>83804.264522457757</v>
      </c>
      <c r="BJ26" s="127">
        <f t="shared" ref="BJ26:BJ29" si="250">0.11*(((S26/AW26)+(68/BI26))^0.25)</f>
        <v>3.0371283753338193E-2</v>
      </c>
      <c r="BK26" s="135" t="str">
        <f t="shared" ref="BK26:BK29" si="251">IF(BI26&lt;AA26,""&amp;BJ26,IF((BI26&gt;AA26),""&amp;AC26))</f>
        <v>0,0303712837533382</v>
      </c>
      <c r="BL26" s="127">
        <f t="shared" ref="BL26:BL29" si="252">(BD26*AW26)/BG26</f>
        <v>83804.264522457757</v>
      </c>
      <c r="BM26" s="127">
        <f t="shared" ref="BM26:BM29" si="253">LOG10(BL26)</f>
        <v>4.9232661190055511</v>
      </c>
      <c r="BN26" s="127">
        <f t="shared" ref="BN26:BN29" si="254">(500*AW26)/S26</f>
        <v>100000</v>
      </c>
      <c r="BO26" s="127">
        <f t="shared" ref="BO26:BO29" si="255">LOG10(BN26)</f>
        <v>5</v>
      </c>
      <c r="BP26" s="127">
        <f t="shared" ref="BP26:BP29" si="256">(BM26/BO26)+1</f>
        <v>1.9846532238011103</v>
      </c>
      <c r="BQ26" s="127">
        <f t="shared" ref="BQ26:BQ29" si="257">IF(BP26&gt;2,2,BP26)</f>
        <v>1.9846532238011103</v>
      </c>
      <c r="BR26" s="127">
        <f t="shared" ref="BR26:BR29" si="258">LOG10((3.7*AW26)/S26)</f>
        <v>2.8692317197309762</v>
      </c>
      <c r="BS26" s="127">
        <f t="shared" ref="BS26:BS29" si="259">BM26-1</f>
        <v>3.9232661190055511</v>
      </c>
      <c r="BT26" s="127">
        <f t="shared" ref="BT26:BT29" si="260">(1.312*(2-BQ26)*BR26)/BS26</f>
        <v>1.4725459328396513E-2</v>
      </c>
      <c r="BU26" s="127">
        <f t="shared" ref="BU26:BU29" si="261">(0.5*((BQ26/2)+BT26))/BR26</f>
        <v>0.17549158966557335</v>
      </c>
      <c r="BV26" s="127">
        <f t="shared" ref="BV26:BV29" si="262">BU26*BU26</f>
        <v>3.079729804334997E-2</v>
      </c>
      <c r="BW26" s="127" t="str">
        <f>LOOKUP(AQ26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26" s="137" t="str">
        <f t="shared" ref="BX26:BX29" si="263">IF(T26="изола",BV26,BK26)</f>
        <v>0,0303712837533382</v>
      </c>
      <c r="BY26" s="127">
        <f t="shared" ref="BY26:BY29" si="264">(0.00638*BX26*(I26^2))/((AW26^5)*BE26)</f>
        <v>2.5265455755798656</v>
      </c>
      <c r="BZ26" s="127">
        <f t="shared" ref="BZ26:BZ29" si="265">BY26*9.81</f>
        <v>24.785412096438481</v>
      </c>
      <c r="CA26" s="127">
        <f t="shared" ref="CA26:CA29" si="266">(BZ26/9.81/BH26)*1000</f>
        <v>2.5838819152799273</v>
      </c>
      <c r="CB26" s="127">
        <f t="shared" ref="CB26:CB29" si="267">CA26*P26/1000</f>
        <v>5.0385697347958586E-2</v>
      </c>
      <c r="CC26" s="138">
        <f t="shared" ref="CC26:CC29" si="268">BB26+CB26</f>
        <v>0.10276288045958147</v>
      </c>
      <c r="CD26" s="139" t="e">
        <f>SUM(#REF!,#REF!,CC26)</f>
        <v>#REF!</v>
      </c>
      <c r="CE26" s="126" t="e">
        <f>#REF!-BB26</f>
        <v>#REF!</v>
      </c>
      <c r="CF26" s="130" t="e">
        <f>#REF!+CB26</f>
        <v>#REF!</v>
      </c>
      <c r="CG26" s="140" t="e">
        <f t="shared" ref="CG26:CG29" si="269">CE26-CF26</f>
        <v>#REF!</v>
      </c>
      <c r="CH26" s="141" t="s">
        <v>81</v>
      </c>
      <c r="CI26" s="127" t="e">
        <f t="shared" ref="CI26:CI29" si="270">CE26-CR26</f>
        <v>#REF!</v>
      </c>
      <c r="CJ26" s="127" t="s">
        <v>82</v>
      </c>
      <c r="CK26" s="138" t="str">
        <f>LOOKUP((AP26)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26" s="142" t="e">
        <f t="shared" ref="CL26:CL29" si="271">CF26-CR26</f>
        <v>#REF!</v>
      </c>
      <c r="CM26" s="126" t="s">
        <v>82</v>
      </c>
      <c r="CN26" s="127" t="str">
        <f>LOOKUP((AQ26)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26" s="130" t="s">
        <v>83</v>
      </c>
      <c r="CP26" s="126">
        <v>22</v>
      </c>
      <c r="CQ26" s="127">
        <v>20.27</v>
      </c>
      <c r="CR26" s="138">
        <f t="shared" ref="CR26:CR29" si="272">CQ26-CP26</f>
        <v>-1.7300000000000004</v>
      </c>
      <c r="CS26" s="141">
        <v>5.5</v>
      </c>
      <c r="CT26" s="127">
        <f>CQ26+CS26+5-CP26</f>
        <v>8.77</v>
      </c>
      <c r="CU26" s="138" t="s">
        <v>90</v>
      </c>
      <c r="CV26" s="127">
        <f>$CV$2+CP26-CQ26</f>
        <v>37.730000000000004</v>
      </c>
      <c r="CW26" s="126" t="s">
        <v>82</v>
      </c>
      <c r="CX26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26" s="126">
        <f t="shared" ref="CY26:CY29" si="273">N26*R26*2</f>
        <v>0.23561925000000003</v>
      </c>
      <c r="CZ26" s="143" t="e">
        <f t="shared" ref="CZ26:CZ27" si="274">CD26+CG26</f>
        <v>#REF!</v>
      </c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</row>
    <row r="27" spans="1:124" s="144" customFormat="1" ht="16.5" customHeight="1" x14ac:dyDescent="0.25">
      <c r="A27" s="124" t="s">
        <v>101</v>
      </c>
      <c r="B27" s="125" t="s">
        <v>109</v>
      </c>
      <c r="C27" s="126">
        <v>0.91</v>
      </c>
      <c r="D27" s="126">
        <v>0.2</v>
      </c>
      <c r="E27" s="127">
        <f t="shared" si="207"/>
        <v>4.4399999999999995E-2</v>
      </c>
      <c r="F27" s="127">
        <f t="shared" si="208"/>
        <v>0.94640000000000002</v>
      </c>
      <c r="G27" s="127">
        <f t="shared" si="208"/>
        <v>0.20800000000000002</v>
      </c>
      <c r="H27" s="127">
        <f t="shared" si="209"/>
        <v>1.1544000000000001</v>
      </c>
      <c r="I27" s="127">
        <f t="shared" si="210"/>
        <v>32.982857142857149</v>
      </c>
      <c r="J27" s="128">
        <f t="shared" si="211"/>
        <v>34.415218538426458</v>
      </c>
      <c r="K27" s="129">
        <v>133</v>
      </c>
      <c r="L27" s="127" t="s">
        <v>11</v>
      </c>
      <c r="M27" s="130">
        <v>4.5</v>
      </c>
      <c r="N27" s="131">
        <v>24</v>
      </c>
      <c r="O27" s="127" t="str">
        <f t="shared" si="212"/>
        <v>0,3</v>
      </c>
      <c r="P27" s="127">
        <f t="shared" si="213"/>
        <v>31.200000000000003</v>
      </c>
      <c r="Q27" s="127">
        <f t="shared" si="214"/>
        <v>0.79161706187185632</v>
      </c>
      <c r="R27" s="127">
        <f t="shared" si="215"/>
        <v>1.2076271959999999E-2</v>
      </c>
      <c r="S27" s="127" t="str">
        <f t="shared" si="216"/>
        <v>0,0005</v>
      </c>
      <c r="T27" s="127" t="s">
        <v>79</v>
      </c>
      <c r="U27" s="127" t="s">
        <v>80</v>
      </c>
      <c r="V27" s="127">
        <f t="shared" si="217"/>
        <v>958.38</v>
      </c>
      <c r="W27" s="132" t="str">
        <f>LOOKUP(AP27,{5,10,15,20,25,30,40,50,60,70,80,90,100,125,150},{"0,000181656","0,000156444","0,000136428","0,000120228","0,000106908","0,000095784","0,00007848","0,000065724","0,000056088","0,000048576","0,000042648","0,00003786","0,000033948","0,0000264","0,00002196"})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27" s="133">
        <f t="shared" si="218"/>
        <v>3.4749251862518006E-7</v>
      </c>
      <c r="Y27" s="127">
        <f t="shared" si="219"/>
        <v>958.38</v>
      </c>
      <c r="Z27" s="134">
        <f t="shared" si="220"/>
        <v>282482.38569415134</v>
      </c>
      <c r="AA27" s="134">
        <f t="shared" si="221"/>
        <v>138880</v>
      </c>
      <c r="AB27" s="127">
        <f t="shared" si="222"/>
        <v>2.8123892327415176E-2</v>
      </c>
      <c r="AC27" s="127">
        <f t="shared" si="223"/>
        <v>2.8447968394223169E-2</v>
      </c>
      <c r="AD27" s="135" t="str">
        <f t="shared" si="224"/>
        <v>0,0284479683942232</v>
      </c>
      <c r="AE27" s="127">
        <f t="shared" si="225"/>
        <v>282482.38569415134</v>
      </c>
      <c r="AF27" s="127">
        <f t="shared" si="226"/>
        <v>5.4509913723879144</v>
      </c>
      <c r="AG27" s="127">
        <f t="shared" si="227"/>
        <v>124000</v>
      </c>
      <c r="AH27" s="127">
        <f t="shared" si="228"/>
        <v>5.0934216851622347</v>
      </c>
      <c r="AI27" s="127">
        <f t="shared" si="229"/>
        <v>2.0702022548549879</v>
      </c>
      <c r="AJ27" s="127">
        <f t="shared" si="230"/>
        <v>2</v>
      </c>
      <c r="AK27" s="127">
        <f t="shared" si="231"/>
        <v>2.9626534048932114</v>
      </c>
      <c r="AL27" s="127">
        <f t="shared" si="232"/>
        <v>4.4509913723879144</v>
      </c>
      <c r="AM27" s="127">
        <f t="shared" si="233"/>
        <v>0</v>
      </c>
      <c r="AN27" s="127">
        <f t="shared" si="234"/>
        <v>0.16876763214157428</v>
      </c>
      <c r="AO27" s="127">
        <f t="shared" si="235"/>
        <v>2.8482513658673735E-2</v>
      </c>
      <c r="AP27" s="127">
        <v>105</v>
      </c>
      <c r="AQ27" s="127">
        <v>70</v>
      </c>
      <c r="AR27" s="127">
        <f t="shared" si="236"/>
        <v>35</v>
      </c>
      <c r="AS27" s="127" t="str">
        <f>LOOKUP(AP27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27" s="132">
        <v>105</v>
      </c>
      <c r="AU27" s="132">
        <v>70</v>
      </c>
      <c r="AV27" s="127">
        <f t="shared" si="237"/>
        <v>35</v>
      </c>
      <c r="AW27" s="127">
        <f t="shared" si="238"/>
        <v>0.124</v>
      </c>
      <c r="AX27" s="132" t="str">
        <f t="shared" si="239"/>
        <v>0,0284479683942232</v>
      </c>
      <c r="AY27" s="127">
        <f t="shared" si="240"/>
        <v>7.0275236385758175</v>
      </c>
      <c r="AZ27" s="127">
        <f t="shared" si="241"/>
        <v>68.940006894428777</v>
      </c>
      <c r="BA27" s="127">
        <f t="shared" si="242"/>
        <v>7.3327110734529279</v>
      </c>
      <c r="BB27" s="127">
        <f t="shared" si="243"/>
        <v>0.22878058549173139</v>
      </c>
      <c r="BC27" s="127">
        <f t="shared" si="244"/>
        <v>33.731355930965272</v>
      </c>
      <c r="BD27" s="127">
        <f t="shared" si="245"/>
        <v>0.77588688984235143</v>
      </c>
      <c r="BE27" s="127">
        <f t="shared" si="246"/>
        <v>977.81</v>
      </c>
      <c r="BF27" s="127" t="str">
        <f>LOOKUP(AQ27,{5,10,15,20,25,30,40,50,60,70,80,90,100,125,150},{"0,000181656","0,000156444","0,000136428","0,000120228","0,000106908","0,000095784","0,00007848","0,000065724","0,000056088","0,000048576","0,000042648","0,00003786","0,000033948","0,0000264","0,00002196"})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27" s="136">
        <f t="shared" si="247"/>
        <v>4.8734473977562104E-7</v>
      </c>
      <c r="BH27" s="127">
        <f t="shared" si="248"/>
        <v>977.81</v>
      </c>
      <c r="BI27" s="127">
        <f t="shared" si="249"/>
        <v>197416.66727488989</v>
      </c>
      <c r="BJ27" s="127">
        <f t="shared" si="250"/>
        <v>2.8293036410808513E-2</v>
      </c>
      <c r="BK27" s="135" t="str">
        <f t="shared" si="251"/>
        <v>0,0284479683942232</v>
      </c>
      <c r="BL27" s="127">
        <f t="shared" si="252"/>
        <v>197416.66727488989</v>
      </c>
      <c r="BM27" s="127">
        <f t="shared" si="253"/>
        <v>5.295383816013163</v>
      </c>
      <c r="BN27" s="127">
        <f t="shared" si="254"/>
        <v>124000</v>
      </c>
      <c r="BO27" s="127">
        <f t="shared" si="255"/>
        <v>5.0934216851622347</v>
      </c>
      <c r="BP27" s="127">
        <f t="shared" si="256"/>
        <v>2.0396515630031713</v>
      </c>
      <c r="BQ27" s="127">
        <f t="shared" si="257"/>
        <v>2</v>
      </c>
      <c r="BR27" s="127">
        <f t="shared" si="258"/>
        <v>2.9626534048932114</v>
      </c>
      <c r="BS27" s="127">
        <f t="shared" si="259"/>
        <v>4.295383816013163</v>
      </c>
      <c r="BT27" s="127">
        <f t="shared" si="260"/>
        <v>0</v>
      </c>
      <c r="BU27" s="127">
        <f t="shared" si="261"/>
        <v>0.16876763214157428</v>
      </c>
      <c r="BV27" s="127">
        <f t="shared" si="262"/>
        <v>2.8482513658673735E-2</v>
      </c>
      <c r="BW27" s="127" t="str">
        <f>LOOKUP(AQ27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27" s="137" t="str">
        <f t="shared" si="263"/>
        <v>0,0284479683942232</v>
      </c>
      <c r="BY27" s="127">
        <f t="shared" si="264"/>
        <v>6.8878801656132502</v>
      </c>
      <c r="BZ27" s="127">
        <f t="shared" si="265"/>
        <v>67.570104424665985</v>
      </c>
      <c r="CA27" s="127">
        <f t="shared" si="266"/>
        <v>7.0441907585453718</v>
      </c>
      <c r="CB27" s="127">
        <f t="shared" si="267"/>
        <v>0.21977875166661562</v>
      </c>
      <c r="CC27" s="138">
        <f t="shared" si="268"/>
        <v>0.448559337158347</v>
      </c>
      <c r="CD27" s="139" t="e">
        <f>SUM(CC2,#REF!,CC27)</f>
        <v>#REF!</v>
      </c>
      <c r="CE27" s="126" t="e">
        <f>#REF!-BB27</f>
        <v>#REF!</v>
      </c>
      <c r="CF27" s="130" t="e">
        <f>#REF!+CB27</f>
        <v>#REF!</v>
      </c>
      <c r="CG27" s="140" t="e">
        <f t="shared" si="269"/>
        <v>#REF!</v>
      </c>
      <c r="CH27" s="141" t="s">
        <v>81</v>
      </c>
      <c r="CI27" s="127" t="e">
        <f t="shared" si="270"/>
        <v>#REF!</v>
      </c>
      <c r="CJ27" s="127" t="s">
        <v>82</v>
      </c>
      <c r="CK27" s="138" t="str">
        <f>LOOKUP((AP27)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27" s="142" t="e">
        <f t="shared" si="271"/>
        <v>#REF!</v>
      </c>
      <c r="CM27" s="126" t="s">
        <v>82</v>
      </c>
      <c r="CN27" s="127" t="str">
        <f>LOOKUP((AQ27)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27" s="130" t="s">
        <v>83</v>
      </c>
      <c r="CP27" s="126">
        <v>22</v>
      </c>
      <c r="CQ27" s="127">
        <v>20.27</v>
      </c>
      <c r="CR27" s="138">
        <f t="shared" si="272"/>
        <v>-1.7300000000000004</v>
      </c>
      <c r="CS27" s="141">
        <v>5.5</v>
      </c>
      <c r="CT27" s="127">
        <f>CQ27+CS27+5-CP27</f>
        <v>8.77</v>
      </c>
      <c r="CU27" s="138" t="s">
        <v>90</v>
      </c>
      <c r="CV27" s="127">
        <f>$CV$2+CP27-CQ27</f>
        <v>37.730000000000004</v>
      </c>
      <c r="CW27" s="126" t="s">
        <v>82</v>
      </c>
      <c r="CX27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27" s="126">
        <f t="shared" si="273"/>
        <v>0.57966105408000002</v>
      </c>
      <c r="CZ27" s="143" t="e">
        <f t="shared" si="274"/>
        <v>#REF!</v>
      </c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</row>
    <row r="28" spans="1:124" s="144" customFormat="1" ht="16.5" customHeight="1" x14ac:dyDescent="0.25">
      <c r="A28" s="124" t="s">
        <v>100</v>
      </c>
      <c r="B28" s="125" t="s">
        <v>110</v>
      </c>
      <c r="C28" s="126">
        <v>2.0099999999999998</v>
      </c>
      <c r="D28" s="126">
        <v>0.45</v>
      </c>
      <c r="E28" s="127">
        <f t="shared" si="207"/>
        <v>9.8400000000000043E-2</v>
      </c>
      <c r="F28" s="127">
        <f t="shared" si="208"/>
        <v>2.0903999999999998</v>
      </c>
      <c r="G28" s="127">
        <f t="shared" si="208"/>
        <v>0.46800000000000003</v>
      </c>
      <c r="H28" s="127">
        <f t="shared" si="209"/>
        <v>2.5583999999999998</v>
      </c>
      <c r="I28" s="127">
        <f t="shared" si="210"/>
        <v>73.097142857142842</v>
      </c>
      <c r="J28" s="128">
        <f t="shared" si="211"/>
        <v>76.271565409485632</v>
      </c>
      <c r="K28" s="129">
        <v>219</v>
      </c>
      <c r="L28" s="127" t="s">
        <v>11</v>
      </c>
      <c r="M28" s="130">
        <v>4.5</v>
      </c>
      <c r="N28" s="131">
        <v>20</v>
      </c>
      <c r="O28" s="127" t="str">
        <f t="shared" si="212"/>
        <v>0,4</v>
      </c>
      <c r="P28" s="127">
        <f t="shared" si="213"/>
        <v>28</v>
      </c>
      <c r="Q28" s="127">
        <f t="shared" si="214"/>
        <v>0.61169095014648289</v>
      </c>
      <c r="R28" s="127">
        <f t="shared" si="215"/>
        <v>3.4636029749999991E-2</v>
      </c>
      <c r="S28" s="127" t="str">
        <f t="shared" si="216"/>
        <v>0,0005</v>
      </c>
      <c r="T28" s="127" t="s">
        <v>79</v>
      </c>
      <c r="U28" s="127" t="s">
        <v>80</v>
      </c>
      <c r="V28" s="127">
        <f t="shared" si="217"/>
        <v>958.38</v>
      </c>
      <c r="W28" s="132" t="str">
        <f>LOOKUP(AP28,{5,10,15,20,25,30,40,50,60,70,80,90,100,125,150},{"0,000181656","0,000156444","0,000136428","0,000120228","0,000106908","0,000095784","0,00007848","0,000065724","0,000056088","0,000048576","0,000042648","0,00003786","0,000033948","0,0000264","0,00002196"})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28" s="133">
        <f t="shared" si="218"/>
        <v>3.4749251862518006E-7</v>
      </c>
      <c r="Y28" s="127">
        <f t="shared" si="219"/>
        <v>958.38</v>
      </c>
      <c r="Z28" s="134">
        <f t="shared" si="220"/>
        <v>369662.92120181851</v>
      </c>
      <c r="AA28" s="134">
        <f t="shared" si="221"/>
        <v>235199.99999999997</v>
      </c>
      <c r="AB28" s="127">
        <f t="shared" si="222"/>
        <v>2.4754858785634267E-2</v>
      </c>
      <c r="AC28" s="127">
        <f t="shared" si="223"/>
        <v>2.4517397030032459E-2</v>
      </c>
      <c r="AD28" s="135" t="str">
        <f t="shared" si="224"/>
        <v>0,0245173970300325</v>
      </c>
      <c r="AE28" s="127">
        <f t="shared" si="225"/>
        <v>369662.92120181851</v>
      </c>
      <c r="AF28" s="127">
        <f t="shared" si="226"/>
        <v>5.5678058911329522</v>
      </c>
      <c r="AG28" s="127">
        <f t="shared" si="227"/>
        <v>210000</v>
      </c>
      <c r="AH28" s="127">
        <f t="shared" si="228"/>
        <v>5.3222192947339195</v>
      </c>
      <c r="AI28" s="127">
        <f t="shared" si="229"/>
        <v>2.0461436447464743</v>
      </c>
      <c r="AJ28" s="127">
        <f t="shared" si="230"/>
        <v>2</v>
      </c>
      <c r="AK28" s="127">
        <f t="shared" si="231"/>
        <v>3.1914510144648953</v>
      </c>
      <c r="AL28" s="127">
        <f t="shared" si="232"/>
        <v>4.5678058911329522</v>
      </c>
      <c r="AM28" s="127">
        <f t="shared" si="233"/>
        <v>0</v>
      </c>
      <c r="AN28" s="127">
        <f t="shared" si="234"/>
        <v>0.15666854911255282</v>
      </c>
      <c r="AO28" s="127">
        <f t="shared" si="235"/>
        <v>2.4545034281032375E-2</v>
      </c>
      <c r="AP28" s="127">
        <v>105</v>
      </c>
      <c r="AQ28" s="127">
        <v>70</v>
      </c>
      <c r="AR28" s="127">
        <f t="shared" si="236"/>
        <v>35</v>
      </c>
      <c r="AS28" s="127" t="str">
        <f>LOOKUP(AP28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28" s="132">
        <v>105</v>
      </c>
      <c r="AU28" s="132">
        <v>70</v>
      </c>
      <c r="AV28" s="127">
        <f t="shared" si="237"/>
        <v>35</v>
      </c>
      <c r="AW28" s="127">
        <f t="shared" si="238"/>
        <v>0.21</v>
      </c>
      <c r="AX28" s="132" t="str">
        <f t="shared" si="239"/>
        <v>0,0245173970300325</v>
      </c>
      <c r="AY28" s="127">
        <f t="shared" si="240"/>
        <v>2.1353134081337317</v>
      </c>
      <c r="AZ28" s="127">
        <f t="shared" si="241"/>
        <v>20.94742453379191</v>
      </c>
      <c r="BA28" s="127">
        <f t="shared" si="242"/>
        <v>2.2280446254447419</v>
      </c>
      <c r="BB28" s="127">
        <f t="shared" si="243"/>
        <v>6.2385249512452771E-2</v>
      </c>
      <c r="BC28" s="127">
        <f t="shared" si="244"/>
        <v>74.755978009166242</v>
      </c>
      <c r="BD28" s="127">
        <f t="shared" si="245"/>
        <v>0.59953607838065293</v>
      </c>
      <c r="BE28" s="127">
        <f t="shared" si="246"/>
        <v>977.81</v>
      </c>
      <c r="BF28" s="127" t="str">
        <f>LOOKUP(AQ28,{5,10,15,20,25,30,40,50,60,70,80,90,100,125,150},{"0,000181656","0,000156444","0,000136428","0,000120228","0,000106908","0,000095784","0,00007848","0,000065724","0,000056088","0,000048576","0,000042648","0,00003786","0,000033948","0,0000264","0,00002196"})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28" s="136">
        <f t="shared" si="247"/>
        <v>4.8734473977562104E-7</v>
      </c>
      <c r="BH28" s="127">
        <f t="shared" si="248"/>
        <v>977.81</v>
      </c>
      <c r="BI28" s="127">
        <f t="shared" si="249"/>
        <v>258343.9733399073</v>
      </c>
      <c r="BJ28" s="127">
        <f t="shared" si="250"/>
        <v>2.4943932325636197E-2</v>
      </c>
      <c r="BK28" s="135" t="str">
        <f t="shared" si="251"/>
        <v>0,0245173970300325</v>
      </c>
      <c r="BL28" s="127">
        <f t="shared" si="252"/>
        <v>258343.9733399073</v>
      </c>
      <c r="BM28" s="127">
        <f t="shared" si="253"/>
        <v>5.4121983347582008</v>
      </c>
      <c r="BN28" s="127">
        <f t="shared" si="254"/>
        <v>210000</v>
      </c>
      <c r="BO28" s="127">
        <f t="shared" si="255"/>
        <v>5.3222192947339195</v>
      </c>
      <c r="BP28" s="127">
        <f t="shared" si="256"/>
        <v>2.0169063007443739</v>
      </c>
      <c r="BQ28" s="127">
        <f t="shared" si="257"/>
        <v>2</v>
      </c>
      <c r="BR28" s="127">
        <f t="shared" si="258"/>
        <v>3.1914510144648953</v>
      </c>
      <c r="BS28" s="127">
        <f t="shared" si="259"/>
        <v>4.4121983347582008</v>
      </c>
      <c r="BT28" s="127">
        <f t="shared" si="260"/>
        <v>0</v>
      </c>
      <c r="BU28" s="127">
        <f t="shared" si="261"/>
        <v>0.15666854911255282</v>
      </c>
      <c r="BV28" s="127">
        <f t="shared" si="262"/>
        <v>2.4545034281032375E-2</v>
      </c>
      <c r="BW28" s="127" t="str">
        <f>LOOKUP(AQ28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28" s="137" t="str">
        <f t="shared" si="263"/>
        <v>0,0245173970300325</v>
      </c>
      <c r="BY28" s="127">
        <f t="shared" si="264"/>
        <v>2.0928827319082504</v>
      </c>
      <c r="BZ28" s="127">
        <f t="shared" si="265"/>
        <v>20.531179600019936</v>
      </c>
      <c r="CA28" s="127">
        <f t="shared" si="266"/>
        <v>2.1403777133678838</v>
      </c>
      <c r="CB28" s="127">
        <f t="shared" si="267"/>
        <v>5.9930575974300751E-2</v>
      </c>
      <c r="CC28" s="138">
        <f t="shared" si="268"/>
        <v>0.12231582548675352</v>
      </c>
      <c r="CD28" s="139"/>
      <c r="CE28" s="126" t="e">
        <f>#REF!-BB28</f>
        <v>#REF!</v>
      </c>
      <c r="CF28" s="130" t="e">
        <f>#REF!+CB28</f>
        <v>#REF!</v>
      </c>
      <c r="CG28" s="140" t="e">
        <f t="shared" si="269"/>
        <v>#REF!</v>
      </c>
      <c r="CH28" s="141" t="s">
        <v>86</v>
      </c>
      <c r="CI28" s="127" t="e">
        <f t="shared" si="270"/>
        <v>#REF!</v>
      </c>
      <c r="CJ28" s="127" t="s">
        <v>82</v>
      </c>
      <c r="CK28" s="138" t="str">
        <f>LOOKUP((AP28)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28" s="142" t="e">
        <f t="shared" si="271"/>
        <v>#REF!</v>
      </c>
      <c r="CM28" s="126" t="s">
        <v>82</v>
      </c>
      <c r="CN28" s="127" t="str">
        <f>LOOKUP((AQ28)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28" s="130" t="s">
        <v>83</v>
      </c>
      <c r="CP28" s="126">
        <v>22</v>
      </c>
      <c r="CQ28" s="127">
        <v>22.6</v>
      </c>
      <c r="CR28" s="138">
        <f t="shared" si="272"/>
        <v>0.60000000000000142</v>
      </c>
      <c r="CS28" s="141"/>
      <c r="CT28" s="127"/>
      <c r="CU28" s="138"/>
      <c r="CV28" s="127"/>
      <c r="CW28" s="126"/>
      <c r="CX28" s="140"/>
      <c r="CY28" s="126">
        <f t="shared" si="273"/>
        <v>1.3854411899999997</v>
      </c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</row>
    <row r="29" spans="1:124" s="144" customFormat="1" ht="16.5" customHeight="1" x14ac:dyDescent="0.25">
      <c r="A29" s="124" t="s">
        <v>98</v>
      </c>
      <c r="B29" s="125" t="s">
        <v>111</v>
      </c>
      <c r="C29" s="126">
        <v>1.55</v>
      </c>
      <c r="D29" s="126">
        <v>0.34</v>
      </c>
      <c r="E29" s="127">
        <f t="shared" si="207"/>
        <v>7.5600000000000056E-2</v>
      </c>
      <c r="F29" s="127">
        <f t="shared" si="208"/>
        <v>1.6120000000000001</v>
      </c>
      <c r="G29" s="127">
        <f t="shared" si="208"/>
        <v>0.35360000000000003</v>
      </c>
      <c r="H29" s="127">
        <f t="shared" si="209"/>
        <v>1.9656000000000002</v>
      </c>
      <c r="I29" s="127">
        <f t="shared" si="210"/>
        <v>56.160000000000004</v>
      </c>
      <c r="J29" s="128">
        <f t="shared" si="211"/>
        <v>58.598885619482878</v>
      </c>
      <c r="K29" s="129">
        <v>159</v>
      </c>
      <c r="L29" s="127" t="s">
        <v>11</v>
      </c>
      <c r="M29" s="130">
        <v>4.5</v>
      </c>
      <c r="N29" s="131">
        <v>20</v>
      </c>
      <c r="O29" s="127" t="str">
        <f t="shared" si="212"/>
        <v>0,3</v>
      </c>
      <c r="P29" s="127">
        <f t="shared" si="213"/>
        <v>26</v>
      </c>
      <c r="Q29" s="127">
        <f t="shared" si="214"/>
        <v>0.92111705517180142</v>
      </c>
      <c r="R29" s="127">
        <f t="shared" si="215"/>
        <v>1.7671443749999998E-2</v>
      </c>
      <c r="S29" s="127" t="str">
        <f t="shared" si="216"/>
        <v>0,0005</v>
      </c>
      <c r="T29" s="127" t="s">
        <v>79</v>
      </c>
      <c r="U29" s="127" t="s">
        <v>80</v>
      </c>
      <c r="V29" s="127">
        <f t="shared" si="217"/>
        <v>958.38</v>
      </c>
      <c r="W29" s="132" t="str">
        <f>LOOKUP(AP29,{5,10,15,20,25,30,40,50,60,70,80,90,100,125,150},{"0,000181656","0,000156444","0,000136428","0,000120228","0,000106908","0,000095784","0,00007848","0,000065724","0,000056088","0,000048576","0,000042648","0,00003786","0,000033948","0,0000264","0,00002196"})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29" s="133">
        <f t="shared" si="218"/>
        <v>3.4749251862518006E-7</v>
      </c>
      <c r="Y29" s="127">
        <f t="shared" si="219"/>
        <v>958.38</v>
      </c>
      <c r="Z29" s="134">
        <f t="shared" si="220"/>
        <v>397613.04451219999</v>
      </c>
      <c r="AA29" s="134">
        <f t="shared" si="221"/>
        <v>168000</v>
      </c>
      <c r="AB29" s="127">
        <f t="shared" si="222"/>
        <v>2.6763608856783649E-2</v>
      </c>
      <c r="AC29" s="127">
        <f t="shared" si="223"/>
        <v>2.6925299052784474E-2</v>
      </c>
      <c r="AD29" s="135" t="str">
        <f t="shared" si="224"/>
        <v>0,0269252990527845</v>
      </c>
      <c r="AE29" s="127">
        <f t="shared" si="225"/>
        <v>397613.04451219999</v>
      </c>
      <c r="AF29" s="127">
        <f t="shared" si="226"/>
        <v>5.5994606238810549</v>
      </c>
      <c r="AG29" s="127">
        <f t="shared" si="227"/>
        <v>150000</v>
      </c>
      <c r="AH29" s="127">
        <f t="shared" si="228"/>
        <v>5.1760912590556813</v>
      </c>
      <c r="AI29" s="127">
        <f t="shared" si="229"/>
        <v>2.0817932574285045</v>
      </c>
      <c r="AJ29" s="127">
        <f t="shared" si="230"/>
        <v>2</v>
      </c>
      <c r="AK29" s="127">
        <f t="shared" si="231"/>
        <v>3.0453229787866576</v>
      </c>
      <c r="AL29" s="127">
        <f t="shared" si="232"/>
        <v>4.5994606238810549</v>
      </c>
      <c r="AM29" s="127">
        <f t="shared" si="233"/>
        <v>0</v>
      </c>
      <c r="AN29" s="127">
        <f t="shared" si="234"/>
        <v>0.16418619748477847</v>
      </c>
      <c r="AO29" s="127">
        <f t="shared" si="235"/>
        <v>2.6957107444510676E-2</v>
      </c>
      <c r="AP29" s="127">
        <v>105</v>
      </c>
      <c r="AQ29" s="127">
        <v>70</v>
      </c>
      <c r="AR29" s="127">
        <f t="shared" si="236"/>
        <v>35</v>
      </c>
      <c r="AS29" s="132" t="str">
        <f>LOOKUP(AP29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29" s="132">
        <v>105</v>
      </c>
      <c r="AU29" s="132">
        <v>70</v>
      </c>
      <c r="AV29" s="127">
        <f t="shared" si="237"/>
        <v>35</v>
      </c>
      <c r="AW29" s="127">
        <f t="shared" si="238"/>
        <v>0.15</v>
      </c>
      <c r="AX29" s="132" t="str">
        <f t="shared" si="239"/>
        <v>0,0269252990527845</v>
      </c>
      <c r="AY29" s="127">
        <f t="shared" si="240"/>
        <v>7.4446001245516671</v>
      </c>
      <c r="AZ29" s="127">
        <f t="shared" si="241"/>
        <v>73.03152722185186</v>
      </c>
      <c r="BA29" s="127">
        <f t="shared" si="242"/>
        <v>7.7679001278737738</v>
      </c>
      <c r="BB29" s="127">
        <f t="shared" si="243"/>
        <v>0.20196540332471813</v>
      </c>
      <c r="BC29" s="127">
        <f t="shared" si="244"/>
        <v>57.434470909481398</v>
      </c>
      <c r="BD29" s="127">
        <f t="shared" si="245"/>
        <v>0.9028135970541834</v>
      </c>
      <c r="BE29" s="127">
        <f t="shared" si="246"/>
        <v>977.81</v>
      </c>
      <c r="BF29" s="127" t="str">
        <f>LOOKUP(AQ29,{5,10,15,20,25,30,40,50,60,70,80,90,100,125,150},{"0,000181656","0,000156444","0,000136428","0,000120228","0,000106908","0,000095784","0,00007848","0,000065724","0,000056088","0,000048576","0,000042648","0,00003786","0,000033948","0,0000264","0,00002196"})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29" s="136">
        <f t="shared" si="247"/>
        <v>4.8734473977562104E-7</v>
      </c>
      <c r="BH29" s="127">
        <f t="shared" si="248"/>
        <v>977.81</v>
      </c>
      <c r="BI29" s="127">
        <f t="shared" si="249"/>
        <v>277877.29815341259</v>
      </c>
      <c r="BJ29" s="127">
        <f t="shared" si="250"/>
        <v>2.6903213288770392E-2</v>
      </c>
      <c r="BK29" s="135" t="str">
        <f t="shared" si="251"/>
        <v>0,0269252990527845</v>
      </c>
      <c r="BL29" s="127">
        <f t="shared" si="252"/>
        <v>277877.29815341259</v>
      </c>
      <c r="BM29" s="127">
        <f t="shared" si="253"/>
        <v>5.4438530675063035</v>
      </c>
      <c r="BN29" s="127">
        <f t="shared" si="254"/>
        <v>150000</v>
      </c>
      <c r="BO29" s="127">
        <f t="shared" si="255"/>
        <v>5.1760912590556813</v>
      </c>
      <c r="BP29" s="127">
        <f t="shared" si="256"/>
        <v>2.0517305037816262</v>
      </c>
      <c r="BQ29" s="127">
        <f t="shared" si="257"/>
        <v>2</v>
      </c>
      <c r="BR29" s="127">
        <f t="shared" si="258"/>
        <v>3.0453229787866576</v>
      </c>
      <c r="BS29" s="127">
        <f t="shared" si="259"/>
        <v>4.4438530675063035</v>
      </c>
      <c r="BT29" s="127">
        <f t="shared" si="260"/>
        <v>0</v>
      </c>
      <c r="BU29" s="127">
        <f t="shared" si="261"/>
        <v>0.16418619748477847</v>
      </c>
      <c r="BV29" s="127">
        <f t="shared" si="262"/>
        <v>2.6957107444510676E-2</v>
      </c>
      <c r="BW29" s="127" t="str">
        <f>LOOKUP(AQ29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29" s="137" t="str">
        <f t="shared" si="263"/>
        <v>0,0269252990527845</v>
      </c>
      <c r="BY29" s="127">
        <f t="shared" si="264"/>
        <v>7.2966689513993801</v>
      </c>
      <c r="BZ29" s="127">
        <f t="shared" si="265"/>
        <v>71.580322413227918</v>
      </c>
      <c r="CA29" s="127">
        <f t="shared" si="266"/>
        <v>7.4622564213900251</v>
      </c>
      <c r="CB29" s="127">
        <f t="shared" si="267"/>
        <v>0.19401866695614067</v>
      </c>
      <c r="CC29" s="138">
        <f t="shared" si="268"/>
        <v>0.3959840702808588</v>
      </c>
      <c r="CD29" s="139" t="e">
        <f>SUM(#REF!,#REF!,CC29)</f>
        <v>#REF!</v>
      </c>
      <c r="CE29" s="126" t="e">
        <f>#REF!-BB29</f>
        <v>#REF!</v>
      </c>
      <c r="CF29" s="130" t="e">
        <f>#REF!+CB29</f>
        <v>#REF!</v>
      </c>
      <c r="CG29" s="140" t="e">
        <f t="shared" si="269"/>
        <v>#REF!</v>
      </c>
      <c r="CH29" s="141" t="s">
        <v>81</v>
      </c>
      <c r="CI29" s="127" t="e">
        <f t="shared" si="270"/>
        <v>#REF!</v>
      </c>
      <c r="CJ29" s="127" t="s">
        <v>82</v>
      </c>
      <c r="CK29" s="138" t="str">
        <f>LOOKUP((AP29)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29" s="142" t="e">
        <f t="shared" si="271"/>
        <v>#REF!</v>
      </c>
      <c r="CM29" s="126" t="s">
        <v>82</v>
      </c>
      <c r="CN29" s="127" t="str">
        <f>LOOKUP((AQ29)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29" s="130" t="s">
        <v>83</v>
      </c>
      <c r="CP29" s="126">
        <v>22</v>
      </c>
      <c r="CQ29" s="127">
        <v>20.27</v>
      </c>
      <c r="CR29" s="138">
        <f t="shared" si="272"/>
        <v>-1.7300000000000004</v>
      </c>
      <c r="CS29" s="141">
        <v>5.5</v>
      </c>
      <c r="CT29" s="127">
        <f>CQ29+CS29+5-CP29</f>
        <v>8.77</v>
      </c>
      <c r="CU29" s="138" t="s">
        <v>90</v>
      </c>
      <c r="CV29" s="127">
        <f>$CV$2+CP29-CQ29</f>
        <v>37.730000000000004</v>
      </c>
      <c r="CW29" s="126" t="s">
        <v>82</v>
      </c>
      <c r="CX29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29" s="126">
        <f t="shared" si="273"/>
        <v>0.70685774999999995</v>
      </c>
      <c r="CZ29" s="143" t="e">
        <f t="shared" ref="CZ29" si="275">CD29+CG29</f>
        <v>#REF!</v>
      </c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</row>
    <row r="30" spans="1:124" s="123" customFormat="1" ht="16.5" customHeight="1" x14ac:dyDescent="0.25">
      <c r="A30" s="166" t="s">
        <v>112</v>
      </c>
      <c r="B30" s="167"/>
      <c r="C30" s="167"/>
      <c r="D30" s="167"/>
      <c r="E30" s="167"/>
      <c r="F30" s="167"/>
      <c r="G30" s="167"/>
      <c r="H30" s="167"/>
      <c r="I30" s="167"/>
      <c r="J30" s="168"/>
      <c r="K30" s="106"/>
      <c r="L30" s="107"/>
      <c r="M30" s="108"/>
      <c r="N30" s="109"/>
      <c r="O30" s="107"/>
      <c r="P30" s="107"/>
      <c r="Q30" s="107"/>
      <c r="R30" s="107"/>
      <c r="S30" s="107"/>
      <c r="T30" s="107"/>
      <c r="U30" s="107"/>
      <c r="V30" s="107"/>
      <c r="W30" s="110"/>
      <c r="X30" s="111"/>
      <c r="Y30" s="107"/>
      <c r="Z30" s="112"/>
      <c r="AA30" s="112"/>
      <c r="AB30" s="107"/>
      <c r="AC30" s="107"/>
      <c r="AD30" s="113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0"/>
      <c r="AU30" s="110"/>
      <c r="AV30" s="107"/>
      <c r="AW30" s="107"/>
      <c r="AX30" s="110"/>
      <c r="AY30" s="107"/>
      <c r="AZ30" s="107"/>
      <c r="BA30" s="107"/>
      <c r="BB30" s="107"/>
      <c r="BC30" s="107"/>
      <c r="BD30" s="107"/>
      <c r="BE30" s="107"/>
      <c r="BF30" s="107"/>
      <c r="BG30" s="114"/>
      <c r="BH30" s="107"/>
      <c r="BI30" s="107"/>
      <c r="BJ30" s="107"/>
      <c r="BK30" s="113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15"/>
      <c r="BY30" s="107"/>
      <c r="BZ30" s="107"/>
      <c r="CA30" s="107"/>
      <c r="CB30" s="107"/>
      <c r="CC30" s="116"/>
      <c r="CD30" s="117"/>
      <c r="CE30" s="118"/>
      <c r="CF30" s="108"/>
      <c r="CG30" s="119"/>
      <c r="CH30" s="120"/>
      <c r="CI30" s="107"/>
      <c r="CJ30" s="107"/>
      <c r="CK30" s="116"/>
      <c r="CL30" s="121"/>
      <c r="CM30" s="118"/>
      <c r="CN30" s="107"/>
      <c r="CO30" s="108"/>
      <c r="CP30" s="118"/>
      <c r="CQ30" s="107"/>
      <c r="CR30" s="116"/>
      <c r="CS30" s="120"/>
      <c r="CT30" s="107"/>
      <c r="CU30" s="116"/>
      <c r="CV30" s="107"/>
      <c r="CW30" s="118"/>
      <c r="CX30" s="119"/>
      <c r="CY30" s="118"/>
      <c r="CZ30" s="122"/>
      <c r="DA30" s="122"/>
      <c r="DB30" s="122"/>
      <c r="DC30" s="122"/>
      <c r="DD30" s="122"/>
      <c r="DE30" s="122"/>
      <c r="DF30" s="122"/>
      <c r="DG30" s="122"/>
      <c r="DH30" s="122"/>
      <c r="DI30" s="122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/>
    </row>
    <row r="31" spans="1:124" s="101" customFormat="1" ht="16.5" customHeight="1" x14ac:dyDescent="0.25">
      <c r="A31" s="80" t="s">
        <v>95</v>
      </c>
      <c r="B31" s="81" t="s">
        <v>113</v>
      </c>
      <c r="C31" s="82">
        <f>C32+C36</f>
        <v>6.11</v>
      </c>
      <c r="D31" s="82">
        <f>D32+D36</f>
        <v>1.37</v>
      </c>
      <c r="E31" s="82">
        <f t="shared" ref="E31:G31" si="276">E32+E36</f>
        <v>0.29920000000000024</v>
      </c>
      <c r="F31" s="82">
        <f t="shared" si="276"/>
        <v>6.3544</v>
      </c>
      <c r="G31" s="82">
        <f t="shared" si="276"/>
        <v>1.4248000000000003</v>
      </c>
      <c r="H31" s="83">
        <f>F31+G31</f>
        <v>7.7792000000000003</v>
      </c>
      <c r="I31" s="83">
        <f>((F31/(AP31-AQ31))+(G31/(AT31-AU31)))*1000</f>
        <v>222.26285714285714</v>
      </c>
      <c r="J31" s="84">
        <f>I31/AS31</f>
        <v>231.91516636705393</v>
      </c>
      <c r="K31" s="85">
        <v>273</v>
      </c>
      <c r="L31" s="83" t="s">
        <v>11</v>
      </c>
      <c r="M31" s="86">
        <v>6</v>
      </c>
      <c r="N31" s="87">
        <v>90</v>
      </c>
      <c r="O31" s="83" t="str">
        <f>IF(K31&lt;159,"0,3",IF((K31&gt;159),"0,4","0,3"))</f>
        <v>0,4</v>
      </c>
      <c r="P31" s="83">
        <f>N31*(1+O31)</f>
        <v>125.99999999999999</v>
      </c>
      <c r="Q31" s="83">
        <f>(J31/3600)/R31</f>
        <v>1.2040821571498255</v>
      </c>
      <c r="R31" s="83">
        <f>(3.14159*AW31^2)/4</f>
        <v>5.3502063097499997E-2</v>
      </c>
      <c r="S31" s="83" t="str">
        <f>IF(T31="сталь","0,0005",IF((T31="изола"),"0,000007"))</f>
        <v>0,0005</v>
      </c>
      <c r="T31" s="83" t="s">
        <v>79</v>
      </c>
      <c r="U31" s="83" t="s">
        <v>80</v>
      </c>
      <c r="V31" s="83">
        <f>Y31</f>
        <v>958.38</v>
      </c>
      <c r="W31" s="88" t="str">
        <f>LOOKUP(AP31,{5,10,15,20,25,30,40,50,60,70,80,90,100,125,150},{"0,000181656","0,000156444","0,000136428","0,000120228","0,000106908","0,000095784","0,00007848","0,000065724","0,000056088","0,000048576","0,000042648","0,00003786","0,000033948","0,0000264","0,00002196"})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1" s="89">
        <f>(W31*9.81)/V31</f>
        <v>3.4749251862518006E-7</v>
      </c>
      <c r="Y31" s="83">
        <f>AS31*1000</f>
        <v>958.38</v>
      </c>
      <c r="Z31" s="90">
        <f>(Q31*AW31)/X31</f>
        <v>904380.45762672753</v>
      </c>
      <c r="AA31" s="90">
        <f>560*AW31/S31</f>
        <v>292320</v>
      </c>
      <c r="AB31" s="83">
        <f>0.11*(((S31/AW31)+(68/Z31))^0.25)</f>
        <v>2.3235657162749421E-2</v>
      </c>
      <c r="AC31" s="83">
        <f>1/(1.14+2*LOG(AW31/S31))^2</f>
        <v>2.3129350547369202E-2</v>
      </c>
      <c r="AD31" s="91" t="str">
        <f>IF(Z31&lt;AA31,""&amp;AB31,IF((Z31&gt;AA31),""&amp;AC31))</f>
        <v>0,0231293505473692</v>
      </c>
      <c r="AE31" s="83">
        <f>(Q31*AW31)/X31</f>
        <v>904380.45762672753</v>
      </c>
      <c r="AF31" s="83">
        <f>LOG10(AE31)</f>
        <v>5.9563511692896727</v>
      </c>
      <c r="AG31" s="83">
        <f>(500*AW31)/S31</f>
        <v>261000</v>
      </c>
      <c r="AH31" s="83">
        <f>LOG10(AG31)</f>
        <v>5.4166405073382808</v>
      </c>
      <c r="AI31" s="83">
        <f>(AF31/AH31)+1</f>
        <v>2.0996393726370082</v>
      </c>
      <c r="AJ31" s="83">
        <f>IF(AI31&gt;2,2,AI31)</f>
        <v>2</v>
      </c>
      <c r="AK31" s="83">
        <f>LOG10((3.7*AW31)/S31)</f>
        <v>3.2858722270692571</v>
      </c>
      <c r="AL31" s="83">
        <f>AF31-1</f>
        <v>4.9563511692896727</v>
      </c>
      <c r="AM31" s="83">
        <f>(1.312*(2-AJ31)*AK31)/AL31</f>
        <v>0</v>
      </c>
      <c r="AN31" s="83">
        <f>(0.5*((AJ31/2)+AM31))/AK31</f>
        <v>0.15216659853081421</v>
      </c>
      <c r="AO31" s="83">
        <f>AN31*AN31</f>
        <v>2.3154673708437989E-2</v>
      </c>
      <c r="AP31" s="83">
        <v>105</v>
      </c>
      <c r="AQ31" s="83">
        <v>70</v>
      </c>
      <c r="AR31" s="83">
        <f>AP31-AQ31</f>
        <v>35</v>
      </c>
      <c r="AS31" s="83" t="str">
        <f>LOOKUP(AP31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1" s="88">
        <v>105</v>
      </c>
      <c r="AU31" s="88">
        <v>70</v>
      </c>
      <c r="AV31" s="83">
        <f>AT31-AU31</f>
        <v>35</v>
      </c>
      <c r="AW31" s="83">
        <f>(K31-(M31*2))/1000</f>
        <v>0.26100000000000001</v>
      </c>
      <c r="AX31" s="88" t="str">
        <f>IF(T31="изола",AO31,AD31)</f>
        <v>0,0231293505473692</v>
      </c>
      <c r="AY31" s="83">
        <f>(0.00638*AX31*(I31^2))/((AW31^5)*V31)</f>
        <v>6.2802600032002482</v>
      </c>
      <c r="AZ31" s="83">
        <f>AY31*9.81</f>
        <v>61.609350631394442</v>
      </c>
      <c r="BA31" s="83">
        <f>(AZ31/9.81/Y31)*1000</f>
        <v>6.5529956835495824</v>
      </c>
      <c r="BB31" s="83">
        <f>BA31*P31/1000</f>
        <v>0.8256774561272473</v>
      </c>
      <c r="BC31" s="83">
        <f>I31/BW31</f>
        <v>227.30679492218033</v>
      </c>
      <c r="BD31" s="83">
        <f>(BC31/3600)/R31</f>
        <v>1.180155917580358</v>
      </c>
      <c r="BE31" s="83">
        <f>BH31</f>
        <v>977.81</v>
      </c>
      <c r="BF31" s="83" t="str">
        <f>LOOKUP(AQ31,{5,10,15,20,25,30,40,50,60,70,80,90,100,125,150},{"0,000181656","0,000156444","0,000136428","0,000120228","0,000106908","0,000095784","0,00007848","0,000065724","0,000056088","0,000048576","0,000042648","0,00003786","0,000033948","0,0000264","0,00002196"})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1" s="92">
        <f>(BF31*9.81)/BE31</f>
        <v>4.8734473977562104E-7</v>
      </c>
      <c r="BH31" s="83">
        <f>BW31*1000</f>
        <v>977.81</v>
      </c>
      <c r="BI31" s="83">
        <f>(BD31*AW31)/BG31</f>
        <v>632038.61527322454</v>
      </c>
      <c r="BJ31" s="83">
        <f>0.11*(((S31/AW31)+(68/BI31))^0.25)</f>
        <v>2.3329616724928323E-2</v>
      </c>
      <c r="BK31" s="91" t="str">
        <f>IF(BI31&lt;AA31,""&amp;BJ31,IF((BI31&gt;AA31),""&amp;AC31))</f>
        <v>0,0231293505473692</v>
      </c>
      <c r="BL31" s="83">
        <f>(BD31*AW31)/BG31</f>
        <v>632038.61527322454</v>
      </c>
      <c r="BM31" s="83">
        <f>LOG10(BL31)</f>
        <v>5.8007436129149212</v>
      </c>
      <c r="BN31" s="83">
        <f>(500*AW31)/S31</f>
        <v>261000</v>
      </c>
      <c r="BO31" s="83">
        <f>LOG10(BN31)</f>
        <v>5.4166405073382808</v>
      </c>
      <c r="BP31" s="83">
        <f>(BM31/BO31)+1</f>
        <v>2.070911685029913</v>
      </c>
      <c r="BQ31" s="83">
        <f>IF(BP31&gt;2,2,BP31)</f>
        <v>2</v>
      </c>
      <c r="BR31" s="83">
        <f>LOG10((3.7*AW31)/S31)</f>
        <v>3.2858722270692571</v>
      </c>
      <c r="BS31" s="83">
        <f>BM31-1</f>
        <v>4.8007436129149212</v>
      </c>
      <c r="BT31" s="83">
        <f>(1.312*(2-BQ31)*BR31)/BS31</f>
        <v>0</v>
      </c>
      <c r="BU31" s="83">
        <f>(0.5*((BQ31/2)+BT31))/BR31</f>
        <v>0.15216659853081421</v>
      </c>
      <c r="BV31" s="83">
        <f>BU31*BU31</f>
        <v>2.3154673708437989E-2</v>
      </c>
      <c r="BW31" s="83" t="str">
        <f>LOOKUP(AQ31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1" s="93" t="str">
        <f>IF(T31="изола",BV31,BK31)</f>
        <v>0,0231293505473692</v>
      </c>
      <c r="BY31" s="83">
        <f>(0.00638*BX31*(I31^2))/((AW31^5)*BE31)</f>
        <v>6.1554653581647294</v>
      </c>
      <c r="BZ31" s="83">
        <f>BY31*9.81</f>
        <v>60.385115163595998</v>
      </c>
      <c r="CA31" s="83">
        <f>(BZ31/9.81/BH31)*1000</f>
        <v>6.2951548441565643</v>
      </c>
      <c r="CB31" s="83">
        <f>CA31*P31/1000</f>
        <v>0.79318951036372698</v>
      </c>
      <c r="CC31" s="94">
        <f>BB31+CB31</f>
        <v>1.6188669664909743</v>
      </c>
      <c r="CD31" s="95"/>
      <c r="CE31" s="82" t="e">
        <f>#REF!-BB31</f>
        <v>#REF!</v>
      </c>
      <c r="CF31" s="86" t="e">
        <f>#REF!+CB31</f>
        <v>#REF!</v>
      </c>
      <c r="CG31" s="98" t="e">
        <f>CE31-CF31</f>
        <v>#REF!</v>
      </c>
      <c r="CH31" s="99" t="s">
        <v>86</v>
      </c>
      <c r="CI31" s="83" t="e">
        <f>CE31-CR31</f>
        <v>#REF!</v>
      </c>
      <c r="CJ31" s="83" t="s">
        <v>82</v>
      </c>
      <c r="CK31" s="94" t="str">
        <f>LOOKUP((AP31)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1" s="100" t="e">
        <f>CF31-CR31</f>
        <v>#REF!</v>
      </c>
      <c r="CM31" s="82" t="s">
        <v>82</v>
      </c>
      <c r="CN31" s="83" t="str">
        <f>LOOKUP((AQ31)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1" s="86" t="s">
        <v>83</v>
      </c>
      <c r="CP31" s="82">
        <v>22</v>
      </c>
      <c r="CQ31" s="83">
        <v>22.6</v>
      </c>
      <c r="CR31" s="94">
        <f>CQ31-CP31</f>
        <v>0.60000000000000142</v>
      </c>
      <c r="CS31" s="99"/>
      <c r="CT31" s="83"/>
      <c r="CU31" s="94"/>
      <c r="CV31" s="83"/>
      <c r="CW31" s="82"/>
      <c r="CX31" s="98"/>
      <c r="CY31" s="82">
        <f>N31*R31*2</f>
        <v>9.6303713575499987</v>
      </c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</row>
    <row r="32" spans="1:124" s="101" customFormat="1" ht="16.5" customHeight="1" x14ac:dyDescent="0.25">
      <c r="A32" s="80" t="s">
        <v>113</v>
      </c>
      <c r="B32" s="81" t="s">
        <v>114</v>
      </c>
      <c r="C32" s="82">
        <f>C33+C38</f>
        <v>4.79</v>
      </c>
      <c r="D32" s="82">
        <f>D33+D38</f>
        <v>1.1000000000000001</v>
      </c>
      <c r="E32" s="83">
        <f t="shared" ref="E32:E41" si="277">(F32-C32)+(G32-D32)</f>
        <v>0.23560000000000025</v>
      </c>
      <c r="F32" s="83">
        <f t="shared" ref="F32:G41" si="278">C32*1.04</f>
        <v>4.9816000000000003</v>
      </c>
      <c r="G32" s="83">
        <f t="shared" si="278"/>
        <v>1.1440000000000001</v>
      </c>
      <c r="H32" s="83">
        <f t="shared" ref="H32:H41" si="279">F32+G32</f>
        <v>6.1256000000000004</v>
      </c>
      <c r="I32" s="83">
        <f t="shared" ref="I32:I41" si="280">((F32/(AP32-AQ32))+(G32/(AT32-AU32)))*1000</f>
        <v>175.01714285714286</v>
      </c>
      <c r="J32" s="84">
        <f t="shared" ref="J32:J41" si="281">I32/AS32</f>
        <v>182.61769116336197</v>
      </c>
      <c r="K32" s="85">
        <v>273</v>
      </c>
      <c r="L32" s="83" t="s">
        <v>11</v>
      </c>
      <c r="M32" s="86">
        <v>6</v>
      </c>
      <c r="N32" s="87">
        <v>28</v>
      </c>
      <c r="O32" s="83" t="str">
        <f t="shared" ref="O32:O41" si="282">IF(K32&lt;159,"0,3",IF((K32&gt;159),"0,4","0,3"))</f>
        <v>0,4</v>
      </c>
      <c r="P32" s="83">
        <f t="shared" ref="P32:P41" si="283">N32*(1+O32)</f>
        <v>39.199999999999996</v>
      </c>
      <c r="Q32" s="83">
        <f t="shared" ref="Q32:Q41" si="284">(J32/3600)/R32</f>
        <v>0.94813421198027692</v>
      </c>
      <c r="R32" s="83">
        <f t="shared" ref="R32:R41" si="285">(3.14159*AW32^2)/4</f>
        <v>5.3502063097499997E-2</v>
      </c>
      <c r="S32" s="83" t="str">
        <f t="shared" ref="S32:S41" si="286">IF(T32="сталь","0,0005",IF((T32="изола"),"0,000007"))</f>
        <v>0,0005</v>
      </c>
      <c r="T32" s="83" t="s">
        <v>79</v>
      </c>
      <c r="U32" s="83" t="s">
        <v>80</v>
      </c>
      <c r="V32" s="83">
        <f t="shared" ref="V32:V41" si="287">Y32</f>
        <v>958.38</v>
      </c>
      <c r="W32" s="88" t="str">
        <f>LOOKUP(AP32,{5,10,15,20,25,30,40,50,60,70,80,90,100,125,150},{"0,000181656","0,000156444","0,000136428","0,000120228","0,000106908","0,000095784","0,00007848","0,000065724","0,000056088","0,000048576","0,000042648","0,00003786","0,000033948","0,0000264","0,00002196"})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2" s="89">
        <f t="shared" ref="X32:X41" si="288">(W32*9.81)/V32</f>
        <v>3.4749251862518006E-7</v>
      </c>
      <c r="Y32" s="83">
        <f t="shared" ref="Y32:Y41" si="289">AS32*1000</f>
        <v>958.38</v>
      </c>
      <c r="Z32" s="90">
        <f t="shared" ref="Z32:Z41" si="290">(Q32*AW32)/X32</f>
        <v>712139.15714190167</v>
      </c>
      <c r="AA32" s="90">
        <f t="shared" ref="AA32:AA41" si="291">560*AW32/S32</f>
        <v>292320</v>
      </c>
      <c r="AB32" s="83">
        <f t="shared" ref="AB32:AB41" si="292">0.11*(((S32/AW32)+(68/Z32))^0.25)</f>
        <v>2.3294654407396701E-2</v>
      </c>
      <c r="AC32" s="83">
        <f t="shared" ref="AC32:AC41" si="293">1/(1.14+2*LOG(AW32/S32))^2</f>
        <v>2.3129350547369202E-2</v>
      </c>
      <c r="AD32" s="91" t="str">
        <f t="shared" ref="AD32:AD41" si="294">IF(Z32&lt;AA32,""&amp;AB32,IF((Z32&gt;AA32),""&amp;AC32))</f>
        <v>0,0231293505473692</v>
      </c>
      <c r="AE32" s="83">
        <f t="shared" ref="AE32:AE41" si="295">(Q32*AW32)/X32</f>
        <v>712139.15714190167</v>
      </c>
      <c r="AF32" s="83">
        <f t="shared" ref="AF32:AF41" si="296">LOG10(AE32)</f>
        <v>5.8525648662123126</v>
      </c>
      <c r="AG32" s="83">
        <f t="shared" ref="AG32:AG41" si="297">(500*AW32)/S32</f>
        <v>261000</v>
      </c>
      <c r="AH32" s="83">
        <f t="shared" ref="AH32:AH41" si="298">LOG10(AG32)</f>
        <v>5.4166405073382808</v>
      </c>
      <c r="AI32" s="83">
        <f t="shared" ref="AI32:AI41" si="299">(AF32/AH32)+1</f>
        <v>2.0804787318418967</v>
      </c>
      <c r="AJ32" s="83">
        <f t="shared" ref="AJ32:AJ41" si="300">IF(AI32&gt;2,2,AI32)</f>
        <v>2</v>
      </c>
      <c r="AK32" s="83">
        <f t="shared" ref="AK32:AK41" si="301">LOG10((3.7*AW32)/S32)</f>
        <v>3.2858722270692571</v>
      </c>
      <c r="AL32" s="83">
        <f t="shared" ref="AL32:AL41" si="302">AF32-1</f>
        <v>4.8525648662123126</v>
      </c>
      <c r="AM32" s="83">
        <f t="shared" ref="AM32:AM41" si="303">(1.312*(2-AJ32)*AK32)/AL32</f>
        <v>0</v>
      </c>
      <c r="AN32" s="83">
        <f t="shared" ref="AN32:AN41" si="304">(0.5*((AJ32/2)+AM32))/AK32</f>
        <v>0.15216659853081421</v>
      </c>
      <c r="AO32" s="83">
        <f t="shared" ref="AO32:AO41" si="305">AN32*AN32</f>
        <v>2.3154673708437989E-2</v>
      </c>
      <c r="AP32" s="83">
        <v>105</v>
      </c>
      <c r="AQ32" s="83">
        <v>70</v>
      </c>
      <c r="AR32" s="83">
        <f t="shared" ref="AR32:AR41" si="306">AP32-AQ32</f>
        <v>35</v>
      </c>
      <c r="AS32" s="83" t="str">
        <f>LOOKUP(AP32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2" s="88">
        <v>105</v>
      </c>
      <c r="AU32" s="88">
        <v>70</v>
      </c>
      <c r="AV32" s="83">
        <f t="shared" ref="AV32:AV41" si="307">AT32-AU32</f>
        <v>35</v>
      </c>
      <c r="AW32" s="83">
        <f t="shared" ref="AW32:AW41" si="308">(K32-(M32*2))/1000</f>
        <v>0.26100000000000001</v>
      </c>
      <c r="AX32" s="88" t="str">
        <f t="shared" ref="AX32:AX41" si="309">IF(T32="изола",AO32,AD32)</f>
        <v>0,0231293505473692</v>
      </c>
      <c r="AY32" s="83">
        <f t="shared" ref="AY32:AY41" si="310">(0.00638*AX32*(I32^2))/((AW32^5)*V32)</f>
        <v>3.8940813301964479</v>
      </c>
      <c r="AZ32" s="83">
        <f t="shared" ref="AZ32:AZ41" si="311">AY32*9.81</f>
        <v>38.200937849227152</v>
      </c>
      <c r="BA32" s="83">
        <f t="shared" ref="BA32:BA41" si="312">(AZ32/9.81/Y32)*1000</f>
        <v>4.0631913543651237</v>
      </c>
      <c r="BB32" s="83">
        <f t="shared" ref="BB32:BB41" si="313">BA32*P32/1000</f>
        <v>0.15927710109111282</v>
      </c>
      <c r="BC32" s="83">
        <f t="shared" ref="BC32:BC41" si="314">I32/BW32</f>
        <v>178.98890669674361</v>
      </c>
      <c r="BD32" s="83">
        <f t="shared" ref="BD32:BD41" si="315">(BC32/3600)/R32</f>
        <v>0.92929389766688619</v>
      </c>
      <c r="BE32" s="83">
        <f t="shared" ref="BE32:BE41" si="316">BH32</f>
        <v>977.81</v>
      </c>
      <c r="BF32" s="83" t="str">
        <f>LOOKUP(AQ32,{5,10,15,20,25,30,40,50,60,70,80,90,100,125,150},{"0,000181656","0,000156444","0,000136428","0,000120228","0,000106908","0,000095784","0,00007848","0,000065724","0,000056088","0,000048576","0,000042648","0,00003786","0,000033948","0,0000264","0,00002196"})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2" s="92">
        <f t="shared" ref="BG32:BG41" si="317">(BF32*9.81)/BE32</f>
        <v>4.8734473977562104E-7</v>
      </c>
      <c r="BH32" s="83">
        <f t="shared" ref="BH32:BH41" si="318">BW32*1000</f>
        <v>977.81</v>
      </c>
      <c r="BI32" s="83">
        <f t="shared" ref="BI32:BI41" si="319">(BD32*AW32)/BG32</f>
        <v>497688.16095712467</v>
      </c>
      <c r="BJ32" s="83">
        <f t="shared" ref="BJ32:BJ41" si="320">0.11*(((S32/AW32)+(68/BI32))^0.25)</f>
        <v>2.3412890923909246E-2</v>
      </c>
      <c r="BK32" s="91" t="str">
        <f t="shared" ref="BK32:BK41" si="321">IF(BI32&lt;AA32,""&amp;BJ32,IF((BI32&gt;AA32),""&amp;AC32))</f>
        <v>0,0231293505473692</v>
      </c>
      <c r="BL32" s="83">
        <f t="shared" ref="BL32:BL41" si="322">(BD32*AW32)/BG32</f>
        <v>497688.16095712467</v>
      </c>
      <c r="BM32" s="83">
        <f t="shared" ref="BM32:BM41" si="323">LOG10(BL32)</f>
        <v>5.6969573098375612</v>
      </c>
      <c r="BN32" s="83">
        <f t="shared" ref="BN32:BN41" si="324">(500*AW32)/S32</f>
        <v>261000</v>
      </c>
      <c r="BO32" s="83">
        <f t="shared" ref="BO32:BO41" si="325">LOG10(BN32)</f>
        <v>5.4166405073382808</v>
      </c>
      <c r="BP32" s="83">
        <f t="shared" ref="BP32:BP41" si="326">(BM32/BO32)+1</f>
        <v>2.0517510442348015</v>
      </c>
      <c r="BQ32" s="83">
        <f t="shared" ref="BQ32:BQ41" si="327">IF(BP32&gt;2,2,BP32)</f>
        <v>2</v>
      </c>
      <c r="BR32" s="83">
        <f t="shared" ref="BR32:BR41" si="328">LOG10((3.7*AW32)/S32)</f>
        <v>3.2858722270692571</v>
      </c>
      <c r="BS32" s="83">
        <f t="shared" ref="BS32:BS41" si="329">BM32-1</f>
        <v>4.6969573098375612</v>
      </c>
      <c r="BT32" s="83">
        <f t="shared" ref="BT32:BT41" si="330">(1.312*(2-BQ32)*BR32)/BS32</f>
        <v>0</v>
      </c>
      <c r="BU32" s="83">
        <f t="shared" ref="BU32:BU41" si="331">(0.5*((BQ32/2)+BT32))/BR32</f>
        <v>0.15216659853081421</v>
      </c>
      <c r="BV32" s="83">
        <f t="shared" ref="BV32:BV41" si="332">BU32*BU32</f>
        <v>2.3154673708437989E-2</v>
      </c>
      <c r="BW32" s="83" t="str">
        <f>LOOKUP(AQ32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2" s="93" t="str">
        <f t="shared" ref="BX32:BX41" si="333">IF(T32="изола",BV32,BK32)</f>
        <v>0,0231293505473692</v>
      </c>
      <c r="BY32" s="83">
        <f t="shared" ref="BY32:BY41" si="334">(0.00638*BX32*(I32^2))/((AW32^5)*BE32)</f>
        <v>3.8167022890271851</v>
      </c>
      <c r="BZ32" s="83">
        <f t="shared" ref="BZ32:BZ41" si="335">BY32*9.81</f>
        <v>37.441849455356689</v>
      </c>
      <c r="CA32" s="83">
        <f t="shared" ref="CA32:CA41" si="336">(BZ32/9.81/BH32)*1000</f>
        <v>3.9033168908348097</v>
      </c>
      <c r="CB32" s="83">
        <f t="shared" ref="CB32:CB41" si="337">CA32*P32/1000</f>
        <v>0.15301002212072454</v>
      </c>
      <c r="CC32" s="94">
        <f t="shared" ref="CC32:CC41" si="338">BB32+CB32</f>
        <v>0.31228712321183738</v>
      </c>
      <c r="CD32" s="95"/>
      <c r="CE32" s="82" t="e">
        <f>#REF!-BB32</f>
        <v>#REF!</v>
      </c>
      <c r="CF32" s="86" t="e">
        <f>#REF!+CB32</f>
        <v>#REF!</v>
      </c>
      <c r="CG32" s="98" t="e">
        <f t="shared" ref="CG32:CG41" si="339">CE32-CF32</f>
        <v>#REF!</v>
      </c>
      <c r="CH32" s="99" t="s">
        <v>86</v>
      </c>
      <c r="CI32" s="83" t="e">
        <f t="shared" ref="CI32:CI41" si="340">CE32-CR32</f>
        <v>#REF!</v>
      </c>
      <c r="CJ32" s="83" t="s">
        <v>82</v>
      </c>
      <c r="CK32" s="94" t="str">
        <f>LOOKUP((AP32)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2" s="100" t="e">
        <f t="shared" ref="CL32:CL41" si="341">CF32-CR32</f>
        <v>#REF!</v>
      </c>
      <c r="CM32" s="82" t="s">
        <v>82</v>
      </c>
      <c r="CN32" s="83" t="str">
        <f>LOOKUP((AQ32)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2" s="86" t="s">
        <v>83</v>
      </c>
      <c r="CP32" s="82">
        <v>22</v>
      </c>
      <c r="CQ32" s="83">
        <v>22.6</v>
      </c>
      <c r="CR32" s="94">
        <f t="shared" ref="CR32:CR41" si="342">CQ32-CP32</f>
        <v>0.60000000000000142</v>
      </c>
      <c r="CS32" s="99"/>
      <c r="CT32" s="83"/>
      <c r="CU32" s="94"/>
      <c r="CV32" s="83"/>
      <c r="CW32" s="82"/>
      <c r="CX32" s="98"/>
      <c r="CY32" s="82">
        <f t="shared" ref="CY32:CY41" si="343">N32*R32*2</f>
        <v>2.9961155334599998</v>
      </c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</row>
    <row r="33" spans="1:124" s="101" customFormat="1" ht="16.5" customHeight="1" x14ac:dyDescent="0.25">
      <c r="A33" s="80" t="s">
        <v>114</v>
      </c>
      <c r="B33" s="81" t="s">
        <v>115</v>
      </c>
      <c r="C33" s="82">
        <f>C34+C39</f>
        <v>3.45</v>
      </c>
      <c r="D33" s="82">
        <f>D34+D39</f>
        <v>0.82000000000000006</v>
      </c>
      <c r="E33" s="83">
        <f t="shared" si="277"/>
        <v>0.1708000000000004</v>
      </c>
      <c r="F33" s="83">
        <f t="shared" si="278"/>
        <v>3.5880000000000005</v>
      </c>
      <c r="G33" s="83">
        <f t="shared" si="278"/>
        <v>0.85280000000000011</v>
      </c>
      <c r="H33" s="83">
        <f t="shared" si="279"/>
        <v>4.4408000000000003</v>
      </c>
      <c r="I33" s="83">
        <f t="shared" si="280"/>
        <v>126.88000000000002</v>
      </c>
      <c r="J33" s="84">
        <f t="shared" si="281"/>
        <v>132.39007491809096</v>
      </c>
      <c r="K33" s="85">
        <v>219</v>
      </c>
      <c r="L33" s="83" t="s">
        <v>11</v>
      </c>
      <c r="M33" s="86">
        <v>4.5</v>
      </c>
      <c r="N33" s="87">
        <v>58</v>
      </c>
      <c r="O33" s="83" t="str">
        <f t="shared" si="282"/>
        <v>0,4</v>
      </c>
      <c r="P33" s="83">
        <f t="shared" si="283"/>
        <v>81.199999999999989</v>
      </c>
      <c r="Q33" s="83">
        <f t="shared" si="284"/>
        <v>1.0617562427339362</v>
      </c>
      <c r="R33" s="83">
        <f t="shared" si="285"/>
        <v>3.4636029749999991E-2</v>
      </c>
      <c r="S33" s="83" t="str">
        <f t="shared" si="286"/>
        <v>0,0005</v>
      </c>
      <c r="T33" s="83" t="s">
        <v>79</v>
      </c>
      <c r="U33" s="83" t="s">
        <v>80</v>
      </c>
      <c r="V33" s="83">
        <f t="shared" si="287"/>
        <v>958.38</v>
      </c>
      <c r="W33" s="88" t="str">
        <f>LOOKUP(AP33,{5,10,15,20,25,30,40,50,60,70,80,90,100,125,150},{"0,000181656","0,000156444","0,000136428","0,000120228","0,000106908","0,000095784","0,00007848","0,000065724","0,000056088","0,000048576","0,000042648","0,00003786","0,000033948","0,0000264","0,00002196"})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3" s="89">
        <f t="shared" si="288"/>
        <v>3.4749251862518006E-7</v>
      </c>
      <c r="Y33" s="83">
        <f t="shared" si="289"/>
        <v>958.38</v>
      </c>
      <c r="Z33" s="90">
        <f t="shared" si="290"/>
        <v>641650.68029746588</v>
      </c>
      <c r="AA33" s="90">
        <f t="shared" si="291"/>
        <v>235199.99999999997</v>
      </c>
      <c r="AB33" s="83">
        <f t="shared" si="292"/>
        <v>2.4564534231443887E-2</v>
      </c>
      <c r="AC33" s="83">
        <f t="shared" si="293"/>
        <v>2.4517397030032459E-2</v>
      </c>
      <c r="AD33" s="91" t="str">
        <f t="shared" si="294"/>
        <v>0,0245173970300325</v>
      </c>
      <c r="AE33" s="83">
        <f t="shared" si="295"/>
        <v>641650.68029746588</v>
      </c>
      <c r="AF33" s="83">
        <f t="shared" si="296"/>
        <v>5.807298659054597</v>
      </c>
      <c r="AG33" s="83">
        <f t="shared" si="297"/>
        <v>210000</v>
      </c>
      <c r="AH33" s="83">
        <f t="shared" si="298"/>
        <v>5.3222192947339195</v>
      </c>
      <c r="AI33" s="83">
        <f t="shared" si="299"/>
        <v>2.0911423106523701</v>
      </c>
      <c r="AJ33" s="83">
        <f t="shared" si="300"/>
        <v>2</v>
      </c>
      <c r="AK33" s="83">
        <f t="shared" si="301"/>
        <v>3.1914510144648953</v>
      </c>
      <c r="AL33" s="83">
        <f t="shared" si="302"/>
        <v>4.807298659054597</v>
      </c>
      <c r="AM33" s="83">
        <f t="shared" si="303"/>
        <v>0</v>
      </c>
      <c r="AN33" s="83">
        <f t="shared" si="304"/>
        <v>0.15666854911255282</v>
      </c>
      <c r="AO33" s="83">
        <f t="shared" si="305"/>
        <v>2.4545034281032375E-2</v>
      </c>
      <c r="AP33" s="83">
        <v>105</v>
      </c>
      <c r="AQ33" s="83">
        <v>70</v>
      </c>
      <c r="AR33" s="83">
        <f t="shared" si="306"/>
        <v>35</v>
      </c>
      <c r="AS33" s="83" t="str">
        <f>LOOKUP(AP33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3" s="88">
        <v>105</v>
      </c>
      <c r="AU33" s="88">
        <v>70</v>
      </c>
      <c r="AV33" s="83">
        <f t="shared" si="307"/>
        <v>35</v>
      </c>
      <c r="AW33" s="83">
        <f t="shared" si="308"/>
        <v>0.21</v>
      </c>
      <c r="AX33" s="88" t="str">
        <f t="shared" si="309"/>
        <v>0,0245173970300325</v>
      </c>
      <c r="AY33" s="83">
        <f t="shared" si="310"/>
        <v>6.4334978913281695</v>
      </c>
      <c r="AZ33" s="83">
        <f t="shared" si="311"/>
        <v>63.112614313929349</v>
      </c>
      <c r="BA33" s="83">
        <f t="shared" si="312"/>
        <v>6.7128883024772739</v>
      </c>
      <c r="BB33" s="83">
        <f t="shared" si="313"/>
        <v>0.54508653016115449</v>
      </c>
      <c r="BC33" s="83">
        <f t="shared" si="314"/>
        <v>129.75936020290243</v>
      </c>
      <c r="BD33" s="83">
        <f t="shared" si="315"/>
        <v>1.0406581523111338</v>
      </c>
      <c r="BE33" s="83">
        <f t="shared" si="316"/>
        <v>977.81</v>
      </c>
      <c r="BF33" s="83" t="str">
        <f>LOOKUP(AQ33,{5,10,15,20,25,30,40,50,60,70,80,90,100,125,150},{"0,000181656","0,000156444","0,000136428","0,000120228","0,000106908","0,000095784","0,00007848","0,000065724","0,000056088","0,000048576","0,000042648","0,00003786","0,000033948","0,0000264","0,00002196"})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3" s="92">
        <f t="shared" si="317"/>
        <v>4.8734473977562104E-7</v>
      </c>
      <c r="BH33" s="83">
        <f t="shared" si="318"/>
        <v>977.81</v>
      </c>
      <c r="BI33" s="83">
        <f t="shared" si="319"/>
        <v>448426.32770788815</v>
      </c>
      <c r="BJ33" s="83">
        <f t="shared" si="320"/>
        <v>2.4676528871807296E-2</v>
      </c>
      <c r="BK33" s="91" t="str">
        <f t="shared" si="321"/>
        <v>0,0245173970300325</v>
      </c>
      <c r="BL33" s="83">
        <f t="shared" si="322"/>
        <v>448426.32770788815</v>
      </c>
      <c r="BM33" s="83">
        <f t="shared" si="323"/>
        <v>5.6516911026798455</v>
      </c>
      <c r="BN33" s="83">
        <f t="shared" si="324"/>
        <v>210000</v>
      </c>
      <c r="BO33" s="83">
        <f t="shared" si="325"/>
        <v>5.3222192947339195</v>
      </c>
      <c r="BP33" s="83">
        <f t="shared" si="326"/>
        <v>2.0619049666502698</v>
      </c>
      <c r="BQ33" s="83">
        <f t="shared" si="327"/>
        <v>2</v>
      </c>
      <c r="BR33" s="83">
        <f t="shared" si="328"/>
        <v>3.1914510144648953</v>
      </c>
      <c r="BS33" s="83">
        <f t="shared" si="329"/>
        <v>4.6516911026798455</v>
      </c>
      <c r="BT33" s="83">
        <f t="shared" si="330"/>
        <v>0</v>
      </c>
      <c r="BU33" s="83">
        <f t="shared" si="331"/>
        <v>0.15666854911255282</v>
      </c>
      <c r="BV33" s="83">
        <f t="shared" si="332"/>
        <v>2.4545034281032375E-2</v>
      </c>
      <c r="BW33" s="83" t="str">
        <f>LOOKUP(AQ33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3" s="93" t="str">
        <f t="shared" si="333"/>
        <v>0,0245173970300325</v>
      </c>
      <c r="BY33" s="83">
        <f t="shared" si="334"/>
        <v>6.3056582660139417</v>
      </c>
      <c r="BZ33" s="83">
        <f t="shared" si="335"/>
        <v>61.858507589596769</v>
      </c>
      <c r="CA33" s="83">
        <f t="shared" si="336"/>
        <v>6.4487561653224477</v>
      </c>
      <c r="CB33" s="83">
        <f t="shared" si="337"/>
        <v>0.52363900062418267</v>
      </c>
      <c r="CC33" s="94">
        <f t="shared" si="338"/>
        <v>1.0687255307853372</v>
      </c>
      <c r="CD33" s="95"/>
      <c r="CE33" s="82" t="e">
        <f>#REF!-BB33</f>
        <v>#REF!</v>
      </c>
      <c r="CF33" s="86" t="e">
        <f>#REF!+CB33</f>
        <v>#REF!</v>
      </c>
      <c r="CG33" s="98" t="e">
        <f t="shared" si="339"/>
        <v>#REF!</v>
      </c>
      <c r="CH33" s="99" t="s">
        <v>86</v>
      </c>
      <c r="CI33" s="83" t="e">
        <f t="shared" si="340"/>
        <v>#REF!</v>
      </c>
      <c r="CJ33" s="83" t="s">
        <v>82</v>
      </c>
      <c r="CK33" s="94" t="str">
        <f>LOOKUP((AP33)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3" s="100" t="e">
        <f t="shared" si="341"/>
        <v>#REF!</v>
      </c>
      <c r="CM33" s="82" t="s">
        <v>82</v>
      </c>
      <c r="CN33" s="83" t="str">
        <f>LOOKUP((AQ33)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3" s="86" t="s">
        <v>83</v>
      </c>
      <c r="CP33" s="82">
        <v>22</v>
      </c>
      <c r="CQ33" s="83">
        <v>22.6</v>
      </c>
      <c r="CR33" s="94">
        <f t="shared" si="342"/>
        <v>0.60000000000000142</v>
      </c>
      <c r="CS33" s="99"/>
      <c r="CT33" s="83"/>
      <c r="CU33" s="94"/>
      <c r="CV33" s="83"/>
      <c r="CW33" s="82"/>
      <c r="CX33" s="98"/>
      <c r="CY33" s="82">
        <f t="shared" si="343"/>
        <v>4.0177794509999991</v>
      </c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</row>
    <row r="34" spans="1:124" s="101" customFormat="1" ht="16.5" customHeight="1" x14ac:dyDescent="0.25">
      <c r="A34" s="80" t="s">
        <v>115</v>
      </c>
      <c r="B34" s="81" t="s">
        <v>116</v>
      </c>
      <c r="C34" s="82">
        <f>C35+C37</f>
        <v>3.16</v>
      </c>
      <c r="D34" s="82">
        <f>D35+D37</f>
        <v>0.77</v>
      </c>
      <c r="E34" s="82">
        <f t="shared" ref="E34:G34" si="344">E35+E37</f>
        <v>0.15720000000000034</v>
      </c>
      <c r="F34" s="82">
        <f t="shared" si="344"/>
        <v>3.2864000000000004</v>
      </c>
      <c r="G34" s="82">
        <f t="shared" si="344"/>
        <v>0.80080000000000007</v>
      </c>
      <c r="H34" s="83">
        <f t="shared" si="279"/>
        <v>4.0872000000000002</v>
      </c>
      <c r="I34" s="83">
        <f t="shared" si="280"/>
        <v>116.77714285714288</v>
      </c>
      <c r="J34" s="84">
        <f t="shared" si="281"/>
        <v>121.84847644686124</v>
      </c>
      <c r="K34" s="85">
        <v>219</v>
      </c>
      <c r="L34" s="83" t="s">
        <v>11</v>
      </c>
      <c r="M34" s="86">
        <v>4.5</v>
      </c>
      <c r="N34" s="87">
        <v>33</v>
      </c>
      <c r="O34" s="83" t="str">
        <f t="shared" si="282"/>
        <v>0,4</v>
      </c>
      <c r="P34" s="83">
        <f t="shared" si="283"/>
        <v>46.199999999999996</v>
      </c>
      <c r="Q34" s="83">
        <f t="shared" si="284"/>
        <v>0.97721359108767436</v>
      </c>
      <c r="R34" s="83">
        <f t="shared" si="285"/>
        <v>3.4636029749999991E-2</v>
      </c>
      <c r="S34" s="83" t="str">
        <f t="shared" si="286"/>
        <v>0,0005</v>
      </c>
      <c r="T34" s="83" t="s">
        <v>79</v>
      </c>
      <c r="U34" s="83" t="s">
        <v>80</v>
      </c>
      <c r="V34" s="83">
        <f t="shared" si="287"/>
        <v>958.38</v>
      </c>
      <c r="W34" s="88" t="str">
        <f>LOOKUP(AP34,{5,10,15,20,25,30,40,50,60,70,80,90,100,125,150},{"0,000181656","0,000156444","0,000136428","0,000120228","0,000106908","0,000095784","0,00007848","0,000065724","0,000056088","0,000048576","0,000042648","0,00003786","0,000033948","0,0000264","0,00002196"})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4" s="89">
        <f t="shared" si="288"/>
        <v>3.4749251862518006E-7</v>
      </c>
      <c r="Y34" s="83">
        <f t="shared" si="289"/>
        <v>958.38</v>
      </c>
      <c r="Z34" s="90">
        <f t="shared" si="290"/>
        <v>590559.05704192992</v>
      </c>
      <c r="AA34" s="90">
        <f t="shared" si="291"/>
        <v>235199.99999999997</v>
      </c>
      <c r="AB34" s="83">
        <f t="shared" si="292"/>
        <v>2.4587143277110843E-2</v>
      </c>
      <c r="AC34" s="83">
        <f t="shared" si="293"/>
        <v>2.4517397030032459E-2</v>
      </c>
      <c r="AD34" s="91" t="str">
        <f t="shared" si="294"/>
        <v>0,0245173970300325</v>
      </c>
      <c r="AE34" s="83">
        <f t="shared" si="295"/>
        <v>590559.05704192992</v>
      </c>
      <c r="AF34" s="83">
        <f t="shared" si="296"/>
        <v>5.7712633344049999</v>
      </c>
      <c r="AG34" s="83">
        <f t="shared" si="297"/>
        <v>210000</v>
      </c>
      <c r="AH34" s="83">
        <f t="shared" si="298"/>
        <v>5.3222192947339195</v>
      </c>
      <c r="AI34" s="83">
        <f t="shared" si="299"/>
        <v>2.084371577870793</v>
      </c>
      <c r="AJ34" s="83">
        <f t="shared" si="300"/>
        <v>2</v>
      </c>
      <c r="AK34" s="83">
        <f t="shared" si="301"/>
        <v>3.1914510144648953</v>
      </c>
      <c r="AL34" s="83">
        <f t="shared" si="302"/>
        <v>4.7712633344049999</v>
      </c>
      <c r="AM34" s="83">
        <f t="shared" si="303"/>
        <v>0</v>
      </c>
      <c r="AN34" s="83">
        <f t="shared" si="304"/>
        <v>0.15666854911255282</v>
      </c>
      <c r="AO34" s="83">
        <f t="shared" si="305"/>
        <v>2.4545034281032375E-2</v>
      </c>
      <c r="AP34" s="83">
        <v>105</v>
      </c>
      <c r="AQ34" s="83">
        <v>70</v>
      </c>
      <c r="AR34" s="83">
        <f t="shared" si="306"/>
        <v>35</v>
      </c>
      <c r="AS34" s="83" t="str">
        <f>LOOKUP(AP34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4" s="88">
        <v>105</v>
      </c>
      <c r="AU34" s="88">
        <v>70</v>
      </c>
      <c r="AV34" s="83">
        <f t="shared" si="307"/>
        <v>35</v>
      </c>
      <c r="AW34" s="83">
        <f t="shared" si="308"/>
        <v>0.21</v>
      </c>
      <c r="AX34" s="88" t="str">
        <f t="shared" si="309"/>
        <v>0,0245173970300325</v>
      </c>
      <c r="AY34" s="83">
        <f t="shared" si="310"/>
        <v>5.4497491667137119</v>
      </c>
      <c r="AZ34" s="83">
        <f t="shared" si="311"/>
        <v>53.462039325461518</v>
      </c>
      <c r="BA34" s="83">
        <f t="shared" si="312"/>
        <v>5.6864178788306434</v>
      </c>
      <c r="BB34" s="83">
        <f t="shared" si="313"/>
        <v>0.26271250600197571</v>
      </c>
      <c r="BC34" s="83">
        <f t="shared" si="314"/>
        <v>119.42723316098514</v>
      </c>
      <c r="BD34" s="83">
        <f t="shared" si="315"/>
        <v>0.95779544229104352</v>
      </c>
      <c r="BE34" s="83">
        <f t="shared" si="316"/>
        <v>977.81</v>
      </c>
      <c r="BF34" s="83" t="str">
        <f>LOOKUP(AQ34,{5,10,15,20,25,30,40,50,60,70,80,90,100,125,150},{"0,000181656","0,000156444","0,000136428","0,000120228","0,000106908","0,000095784","0,00007848","0,000065724","0,000056088","0,000048576","0,000042648","0,00003786","0,000033948","0,0000264","0,00002196"})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4" s="92">
        <f t="shared" si="317"/>
        <v>4.8734473977562104E-7</v>
      </c>
      <c r="BH34" s="83">
        <f t="shared" si="318"/>
        <v>977.81</v>
      </c>
      <c r="BI34" s="83">
        <f t="shared" si="319"/>
        <v>412720.25009180338</v>
      </c>
      <c r="BJ34" s="83">
        <f t="shared" si="320"/>
        <v>2.4708423739705821E-2</v>
      </c>
      <c r="BK34" s="91" t="str">
        <f t="shared" si="321"/>
        <v>0,0245173970300325</v>
      </c>
      <c r="BL34" s="83">
        <f t="shared" si="322"/>
        <v>412720.25009180338</v>
      </c>
      <c r="BM34" s="83">
        <f t="shared" si="323"/>
        <v>5.6156557780302485</v>
      </c>
      <c r="BN34" s="83">
        <f t="shared" si="324"/>
        <v>210000</v>
      </c>
      <c r="BO34" s="83">
        <f t="shared" si="325"/>
        <v>5.3222192947339195</v>
      </c>
      <c r="BP34" s="83">
        <f t="shared" si="326"/>
        <v>2.0551342338686931</v>
      </c>
      <c r="BQ34" s="83">
        <f t="shared" si="327"/>
        <v>2</v>
      </c>
      <c r="BR34" s="83">
        <f t="shared" si="328"/>
        <v>3.1914510144648953</v>
      </c>
      <c r="BS34" s="83">
        <f t="shared" si="329"/>
        <v>4.6156557780302485</v>
      </c>
      <c r="BT34" s="83">
        <f t="shared" si="330"/>
        <v>0</v>
      </c>
      <c r="BU34" s="83">
        <f t="shared" si="331"/>
        <v>0.15666854911255282</v>
      </c>
      <c r="BV34" s="83">
        <f t="shared" si="332"/>
        <v>2.4545034281032375E-2</v>
      </c>
      <c r="BW34" s="83" t="str">
        <f>LOOKUP(AQ34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4" s="93" t="str">
        <f t="shared" si="333"/>
        <v>0,0245173970300325</v>
      </c>
      <c r="BY34" s="83">
        <f t="shared" si="334"/>
        <v>5.3414575494166439</v>
      </c>
      <c r="BZ34" s="83">
        <f t="shared" si="335"/>
        <v>52.399698559777278</v>
      </c>
      <c r="CA34" s="83">
        <f t="shared" si="336"/>
        <v>5.4626742919551283</v>
      </c>
      <c r="CB34" s="83">
        <f t="shared" si="337"/>
        <v>0.25237555228832692</v>
      </c>
      <c r="CC34" s="94">
        <f t="shared" si="338"/>
        <v>0.51508805829030258</v>
      </c>
      <c r="CD34" s="95"/>
      <c r="CE34" s="82" t="e">
        <f>CE33-BB34</f>
        <v>#REF!</v>
      </c>
      <c r="CF34" s="86" t="e">
        <f>CF33+CB34</f>
        <v>#REF!</v>
      </c>
      <c r="CG34" s="98" t="e">
        <f t="shared" si="339"/>
        <v>#REF!</v>
      </c>
      <c r="CH34" s="99" t="s">
        <v>86</v>
      </c>
      <c r="CI34" s="83" t="e">
        <f t="shared" si="340"/>
        <v>#REF!</v>
      </c>
      <c r="CJ34" s="83" t="s">
        <v>82</v>
      </c>
      <c r="CK34" s="94" t="str">
        <f>LOOKUP((AP34)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4" s="100" t="e">
        <f t="shared" si="341"/>
        <v>#REF!</v>
      </c>
      <c r="CM34" s="82" t="s">
        <v>82</v>
      </c>
      <c r="CN34" s="83" t="str">
        <f>LOOKUP((AQ34)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4" s="86" t="s">
        <v>83</v>
      </c>
      <c r="CP34" s="82">
        <v>22</v>
      </c>
      <c r="CQ34" s="83">
        <v>22.6</v>
      </c>
      <c r="CR34" s="94">
        <f t="shared" si="342"/>
        <v>0.60000000000000142</v>
      </c>
      <c r="CS34" s="99"/>
      <c r="CT34" s="83"/>
      <c r="CU34" s="94"/>
      <c r="CV34" s="83"/>
      <c r="CW34" s="82"/>
      <c r="CX34" s="98"/>
      <c r="CY34" s="82">
        <f t="shared" si="343"/>
        <v>2.2859779634999993</v>
      </c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</row>
    <row r="35" spans="1:124" s="101" customFormat="1" ht="16.5" customHeight="1" thickBot="1" x14ac:dyDescent="0.3">
      <c r="A35" s="80" t="s">
        <v>116</v>
      </c>
      <c r="B35" s="81" t="s">
        <v>117</v>
      </c>
      <c r="C35" s="82">
        <f>C40+C41</f>
        <v>1.78</v>
      </c>
      <c r="D35" s="82">
        <f>D40+D41</f>
        <v>0.47000000000000003</v>
      </c>
      <c r="E35" s="83">
        <f t="shared" si="277"/>
        <v>9.0000000000000191E-2</v>
      </c>
      <c r="F35" s="83">
        <f t="shared" si="278"/>
        <v>1.8512000000000002</v>
      </c>
      <c r="G35" s="83">
        <f t="shared" si="278"/>
        <v>0.48880000000000007</v>
      </c>
      <c r="H35" s="83">
        <f t="shared" si="279"/>
        <v>2.3400000000000003</v>
      </c>
      <c r="I35" s="83">
        <f t="shared" si="280"/>
        <v>66.857142857142861</v>
      </c>
      <c r="J35" s="84">
        <f t="shared" si="281"/>
        <v>69.760578118431994</v>
      </c>
      <c r="K35" s="85">
        <v>159</v>
      </c>
      <c r="L35" s="83" t="s">
        <v>11</v>
      </c>
      <c r="M35" s="86">
        <v>4.5</v>
      </c>
      <c r="N35" s="87">
        <v>50</v>
      </c>
      <c r="O35" s="83" t="str">
        <f t="shared" si="282"/>
        <v>0,3</v>
      </c>
      <c r="P35" s="83">
        <f t="shared" si="283"/>
        <v>65</v>
      </c>
      <c r="Q35" s="83">
        <f t="shared" si="284"/>
        <v>1.096567922823573</v>
      </c>
      <c r="R35" s="83">
        <f t="shared" si="285"/>
        <v>1.7671443749999998E-2</v>
      </c>
      <c r="S35" s="83" t="str">
        <f t="shared" si="286"/>
        <v>0,0005</v>
      </c>
      <c r="T35" s="83" t="s">
        <v>79</v>
      </c>
      <c r="U35" s="83" t="s">
        <v>80</v>
      </c>
      <c r="V35" s="83">
        <f t="shared" si="287"/>
        <v>958.38</v>
      </c>
      <c r="W35" s="88" t="str">
        <f>LOOKUP(AP35,{5,10,15,20,25,30,40,50,60,70,80,90,100,125,150},{"0,000181656","0,000156444","0,000136428","0,000120228","0,000106908","0,000095784","0,00007848","0,000065724","0,000056088","0,000048576","0,000042648","0,00003786","0,000033948","0,0000264","0,00002196"})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5" s="89">
        <f t="shared" si="288"/>
        <v>3.4749251862518006E-7</v>
      </c>
      <c r="Y35" s="83">
        <f t="shared" si="289"/>
        <v>958.38</v>
      </c>
      <c r="Z35" s="90">
        <f t="shared" si="290"/>
        <v>473348.86251452373</v>
      </c>
      <c r="AA35" s="90">
        <f t="shared" si="291"/>
        <v>168000</v>
      </c>
      <c r="AB35" s="83">
        <f t="shared" si="292"/>
        <v>2.6711210143677094E-2</v>
      </c>
      <c r="AC35" s="83">
        <f t="shared" si="293"/>
        <v>2.6925299052784474E-2</v>
      </c>
      <c r="AD35" s="91" t="str">
        <f t="shared" si="294"/>
        <v>0,0269252990527845</v>
      </c>
      <c r="AE35" s="83">
        <f t="shared" si="295"/>
        <v>473348.86251452373</v>
      </c>
      <c r="AF35" s="83">
        <f t="shared" si="296"/>
        <v>5.6751813378191738</v>
      </c>
      <c r="AG35" s="83">
        <f t="shared" si="297"/>
        <v>150000</v>
      </c>
      <c r="AH35" s="83">
        <f t="shared" si="298"/>
        <v>5.1760912590556813</v>
      </c>
      <c r="AI35" s="83">
        <f t="shared" si="299"/>
        <v>2.0964221946223076</v>
      </c>
      <c r="AJ35" s="83">
        <f t="shared" si="300"/>
        <v>2</v>
      </c>
      <c r="AK35" s="83">
        <f t="shared" si="301"/>
        <v>3.0453229787866576</v>
      </c>
      <c r="AL35" s="83">
        <f t="shared" si="302"/>
        <v>4.6751813378191738</v>
      </c>
      <c r="AM35" s="83">
        <f t="shared" si="303"/>
        <v>0</v>
      </c>
      <c r="AN35" s="83">
        <f t="shared" si="304"/>
        <v>0.16418619748477847</v>
      </c>
      <c r="AO35" s="83">
        <f t="shared" si="305"/>
        <v>2.6957107444510676E-2</v>
      </c>
      <c r="AP35" s="83">
        <v>105</v>
      </c>
      <c r="AQ35" s="83">
        <v>70</v>
      </c>
      <c r="AR35" s="83">
        <f t="shared" si="306"/>
        <v>35</v>
      </c>
      <c r="AS35" s="83" t="str">
        <f>LOOKUP(AP35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5" s="88">
        <v>105</v>
      </c>
      <c r="AU35" s="88">
        <v>70</v>
      </c>
      <c r="AV35" s="83">
        <f t="shared" si="307"/>
        <v>35</v>
      </c>
      <c r="AW35" s="83">
        <f t="shared" si="308"/>
        <v>0.15</v>
      </c>
      <c r="AX35" s="88" t="str">
        <f t="shared" si="309"/>
        <v>0,0269252990527845</v>
      </c>
      <c r="AY35" s="83">
        <f t="shared" si="310"/>
        <v>10.550737137970049</v>
      </c>
      <c r="AZ35" s="83">
        <f t="shared" si="311"/>
        <v>103.50273132348619</v>
      </c>
      <c r="BA35" s="83">
        <f t="shared" si="312"/>
        <v>11.008928752655574</v>
      </c>
      <c r="BB35" s="83">
        <f t="shared" si="313"/>
        <v>0.71558036892261234</v>
      </c>
      <c r="BC35" s="83">
        <f t="shared" si="314"/>
        <v>68.374370130334995</v>
      </c>
      <c r="BD35" s="83">
        <f t="shared" si="315"/>
        <v>1.0747780917311707</v>
      </c>
      <c r="BE35" s="83">
        <f t="shared" si="316"/>
        <v>977.81</v>
      </c>
      <c r="BF35" s="83" t="str">
        <f>LOOKUP(AQ35,{5,10,15,20,25,30,40,50,60,70,80,90,100,125,150},{"0,000181656","0,000156444","0,000136428","0,000120228","0,000106908","0,000095784","0,00007848","0,000065724","0,000056088","0,000048576","0,000042648","0,00003786","0,000033948","0,0000264","0,00002196"})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5" s="92">
        <f t="shared" si="317"/>
        <v>4.8734473977562104E-7</v>
      </c>
      <c r="BH35" s="83">
        <f t="shared" si="318"/>
        <v>977.81</v>
      </c>
      <c r="BI35" s="83">
        <f t="shared" si="319"/>
        <v>330806.3073254911</v>
      </c>
      <c r="BJ35" s="83">
        <f t="shared" si="320"/>
        <v>2.6829309953786764E-2</v>
      </c>
      <c r="BK35" s="91" t="str">
        <f t="shared" si="321"/>
        <v>0,0269252990527845</v>
      </c>
      <c r="BL35" s="83">
        <f t="shared" si="322"/>
        <v>330806.3073254911</v>
      </c>
      <c r="BM35" s="83">
        <f t="shared" si="323"/>
        <v>5.5195737814444215</v>
      </c>
      <c r="BN35" s="83">
        <f t="shared" si="324"/>
        <v>150000</v>
      </c>
      <c r="BO35" s="83">
        <f t="shared" si="325"/>
        <v>5.1760912590556813</v>
      </c>
      <c r="BP35" s="83">
        <f t="shared" si="326"/>
        <v>2.0663594409754289</v>
      </c>
      <c r="BQ35" s="83">
        <f t="shared" si="327"/>
        <v>2</v>
      </c>
      <c r="BR35" s="83">
        <f t="shared" si="328"/>
        <v>3.0453229787866576</v>
      </c>
      <c r="BS35" s="83">
        <f t="shared" si="329"/>
        <v>4.5195737814444215</v>
      </c>
      <c r="BT35" s="83">
        <f t="shared" si="330"/>
        <v>0</v>
      </c>
      <c r="BU35" s="83">
        <f t="shared" si="331"/>
        <v>0.16418619748477847</v>
      </c>
      <c r="BV35" s="83">
        <f t="shared" si="332"/>
        <v>2.6957107444510676E-2</v>
      </c>
      <c r="BW35" s="83" t="str">
        <f>LOOKUP(AQ35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5" s="93" t="str">
        <f t="shared" si="333"/>
        <v>0,0269252990527845</v>
      </c>
      <c r="BY35" s="83">
        <f t="shared" si="334"/>
        <v>10.34108411479504</v>
      </c>
      <c r="BZ35" s="83">
        <f t="shared" si="335"/>
        <v>101.44603516613934</v>
      </c>
      <c r="CA35" s="83">
        <f t="shared" si="336"/>
        <v>10.575760234396293</v>
      </c>
      <c r="CB35" s="83">
        <f t="shared" si="337"/>
        <v>0.68742441523575903</v>
      </c>
      <c r="CC35" s="94">
        <f t="shared" si="338"/>
        <v>1.4030047841583713</v>
      </c>
      <c r="CD35" s="95"/>
      <c r="CE35" s="82" t="e">
        <f>CE34-BB35</f>
        <v>#REF!</v>
      </c>
      <c r="CF35" s="86" t="e">
        <f>CF34+CB35</f>
        <v>#REF!</v>
      </c>
      <c r="CG35" s="98" t="e">
        <f t="shared" si="339"/>
        <v>#REF!</v>
      </c>
      <c r="CH35" s="99" t="s">
        <v>86</v>
      </c>
      <c r="CI35" s="83" t="e">
        <f t="shared" si="340"/>
        <v>#REF!</v>
      </c>
      <c r="CJ35" s="83" t="s">
        <v>82</v>
      </c>
      <c r="CK35" s="94" t="str">
        <f>LOOKUP((AP35)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5" s="100" t="e">
        <f t="shared" si="341"/>
        <v>#REF!</v>
      </c>
      <c r="CM35" s="82" t="s">
        <v>82</v>
      </c>
      <c r="CN35" s="83" t="str">
        <f>LOOKUP((AQ35)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5" s="86" t="s">
        <v>83</v>
      </c>
      <c r="CP35" s="82">
        <v>22</v>
      </c>
      <c r="CQ35" s="83">
        <v>22.6</v>
      </c>
      <c r="CR35" s="94">
        <f t="shared" si="342"/>
        <v>0.60000000000000142</v>
      </c>
      <c r="CS35" s="99"/>
      <c r="CT35" s="83"/>
      <c r="CU35" s="94"/>
      <c r="CV35" s="83"/>
      <c r="CW35" s="82"/>
      <c r="CX35" s="98"/>
      <c r="CY35" s="82">
        <f t="shared" si="343"/>
        <v>1.7671443749999998</v>
      </c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</row>
    <row r="36" spans="1:124" s="144" customFormat="1" ht="16.5" customHeight="1" x14ac:dyDescent="0.25">
      <c r="A36" s="169" t="s">
        <v>113</v>
      </c>
      <c r="B36" s="170" t="s">
        <v>118</v>
      </c>
      <c r="C36" s="126">
        <v>1.32</v>
      </c>
      <c r="D36" s="126">
        <v>0.27</v>
      </c>
      <c r="E36" s="127">
        <f t="shared" si="277"/>
        <v>6.359999999999999E-2</v>
      </c>
      <c r="F36" s="127">
        <f t="shared" si="278"/>
        <v>1.3728</v>
      </c>
      <c r="G36" s="127">
        <f t="shared" si="278"/>
        <v>0.28080000000000005</v>
      </c>
      <c r="H36" s="127">
        <f t="shared" si="279"/>
        <v>1.6536</v>
      </c>
      <c r="I36" s="127">
        <f t="shared" si="280"/>
        <v>47.245714285714286</v>
      </c>
      <c r="J36" s="128">
        <f t="shared" si="281"/>
        <v>49.297475203691945</v>
      </c>
      <c r="K36" s="129">
        <v>159</v>
      </c>
      <c r="L36" s="127" t="s">
        <v>11</v>
      </c>
      <c r="M36" s="130">
        <v>4.5</v>
      </c>
      <c r="N36" s="131">
        <v>29</v>
      </c>
      <c r="O36" s="127" t="str">
        <f t="shared" si="282"/>
        <v>0,3</v>
      </c>
      <c r="P36" s="127">
        <f t="shared" si="283"/>
        <v>37.700000000000003</v>
      </c>
      <c r="Q36" s="127">
        <f t="shared" si="284"/>
        <v>0.77490799879532501</v>
      </c>
      <c r="R36" s="127">
        <f t="shared" si="285"/>
        <v>1.7671443749999998E-2</v>
      </c>
      <c r="S36" s="127" t="str">
        <f t="shared" si="286"/>
        <v>0,0005</v>
      </c>
      <c r="T36" s="127" t="s">
        <v>79</v>
      </c>
      <c r="U36" s="127" t="s">
        <v>80</v>
      </c>
      <c r="V36" s="127">
        <f t="shared" si="287"/>
        <v>958.38</v>
      </c>
      <c r="W36" s="132" t="str">
        <f>LOOKUP(AP36,{5,10,15,20,25,30,40,50,60,70,80,90,100,125,150},{"0,000181656","0,000156444","0,000136428","0,000120228","0,000106908","0,000095784","0,00007848","0,000065724","0,000056088","0,000048576","0,000042648","0,00003786","0,000033948","0,0000264","0,00002196"})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6" s="133">
        <f t="shared" si="288"/>
        <v>3.4749251862518006E-7</v>
      </c>
      <c r="Y36" s="127">
        <f t="shared" si="289"/>
        <v>958.38</v>
      </c>
      <c r="Z36" s="134">
        <f t="shared" si="290"/>
        <v>334499.86284359684</v>
      </c>
      <c r="AA36" s="134">
        <f t="shared" si="291"/>
        <v>168000</v>
      </c>
      <c r="AB36" s="127">
        <f t="shared" si="292"/>
        <v>2.6825006961757377E-2</v>
      </c>
      <c r="AC36" s="127">
        <f t="shared" si="293"/>
        <v>2.6925299052784474E-2</v>
      </c>
      <c r="AD36" s="135" t="str">
        <f t="shared" si="294"/>
        <v>0,0269252990527845</v>
      </c>
      <c r="AE36" s="127">
        <f t="shared" si="295"/>
        <v>334499.86284359684</v>
      </c>
      <c r="AF36" s="127">
        <f t="shared" si="296"/>
        <v>5.5243959440282628</v>
      </c>
      <c r="AG36" s="127">
        <f t="shared" si="297"/>
        <v>150000</v>
      </c>
      <c r="AH36" s="127">
        <f t="shared" si="298"/>
        <v>5.1760912590556813</v>
      </c>
      <c r="AI36" s="127">
        <f t="shared" si="299"/>
        <v>2.0672910633797685</v>
      </c>
      <c r="AJ36" s="127">
        <f t="shared" si="300"/>
        <v>2</v>
      </c>
      <c r="AK36" s="127">
        <f t="shared" si="301"/>
        <v>3.0453229787866576</v>
      </c>
      <c r="AL36" s="127">
        <f t="shared" si="302"/>
        <v>4.5243959440282628</v>
      </c>
      <c r="AM36" s="127">
        <f t="shared" si="303"/>
        <v>0</v>
      </c>
      <c r="AN36" s="127">
        <f t="shared" si="304"/>
        <v>0.16418619748477847</v>
      </c>
      <c r="AO36" s="127">
        <f t="shared" si="305"/>
        <v>2.6957107444510676E-2</v>
      </c>
      <c r="AP36" s="127">
        <v>105</v>
      </c>
      <c r="AQ36" s="127">
        <v>70</v>
      </c>
      <c r="AR36" s="127">
        <f t="shared" si="306"/>
        <v>35</v>
      </c>
      <c r="AS36" s="132" t="str">
        <f>LOOKUP(AP36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6" s="132">
        <v>105</v>
      </c>
      <c r="AU36" s="132">
        <v>70</v>
      </c>
      <c r="AV36" s="127">
        <f t="shared" si="307"/>
        <v>35</v>
      </c>
      <c r="AW36" s="127">
        <f t="shared" si="308"/>
        <v>0.15</v>
      </c>
      <c r="AX36" s="132" t="str">
        <f t="shared" si="309"/>
        <v>0,0269252990527845</v>
      </c>
      <c r="AY36" s="127">
        <f t="shared" si="310"/>
        <v>5.2688036658769537</v>
      </c>
      <c r="AZ36" s="127">
        <f t="shared" si="311"/>
        <v>51.686963962252918</v>
      </c>
      <c r="BA36" s="127">
        <f t="shared" si="312"/>
        <v>5.4976143762150231</v>
      </c>
      <c r="BB36" s="127">
        <f t="shared" si="313"/>
        <v>0.2072600619833064</v>
      </c>
      <c r="BC36" s="127">
        <f t="shared" si="314"/>
        <v>48.317888225436725</v>
      </c>
      <c r="BD36" s="127">
        <f t="shared" si="315"/>
        <v>0.75950985149002725</v>
      </c>
      <c r="BE36" s="127">
        <f t="shared" si="316"/>
        <v>977.81</v>
      </c>
      <c r="BF36" s="127" t="str">
        <f>LOOKUP(AQ36,{5,10,15,20,25,30,40,50,60,70,80,90,100,125,150},{"0,000181656","0,000156444","0,000136428","0,000120228","0,000106908","0,000095784","0,00007848","0,000065724","0,000056088","0,000048576","0,000042648","0,00003786","0,000033948","0,0000264","0,00002196"})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6" s="136">
        <f t="shared" si="317"/>
        <v>4.8734473977562104E-7</v>
      </c>
      <c r="BH36" s="127">
        <f t="shared" si="318"/>
        <v>977.81</v>
      </c>
      <c r="BI36" s="127">
        <f t="shared" si="319"/>
        <v>233769.79051001373</v>
      </c>
      <c r="BJ36" s="127">
        <f t="shared" si="320"/>
        <v>2.698958814110379E-2</v>
      </c>
      <c r="BK36" s="135" t="str">
        <f t="shared" si="321"/>
        <v>0,0269252990527845</v>
      </c>
      <c r="BL36" s="127">
        <f t="shared" si="322"/>
        <v>233769.79051001373</v>
      </c>
      <c r="BM36" s="127">
        <f t="shared" si="323"/>
        <v>5.3687883876535105</v>
      </c>
      <c r="BN36" s="127">
        <f t="shared" si="324"/>
        <v>150000</v>
      </c>
      <c r="BO36" s="127">
        <f t="shared" si="325"/>
        <v>5.1760912590556813</v>
      </c>
      <c r="BP36" s="127">
        <f t="shared" si="326"/>
        <v>2.0372283097328898</v>
      </c>
      <c r="BQ36" s="127">
        <f t="shared" si="327"/>
        <v>2</v>
      </c>
      <c r="BR36" s="127">
        <f t="shared" si="328"/>
        <v>3.0453229787866576</v>
      </c>
      <c r="BS36" s="127">
        <f t="shared" si="329"/>
        <v>4.3687883876535105</v>
      </c>
      <c r="BT36" s="127">
        <f t="shared" si="330"/>
        <v>0</v>
      </c>
      <c r="BU36" s="127">
        <f t="shared" si="331"/>
        <v>0.16418619748477847</v>
      </c>
      <c r="BV36" s="127">
        <f t="shared" si="332"/>
        <v>2.6957107444510676E-2</v>
      </c>
      <c r="BW36" s="127" t="str">
        <f>LOOKUP(AQ36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6" s="137" t="str">
        <f t="shared" si="333"/>
        <v>0,0269252990527845</v>
      </c>
      <c r="BY36" s="127">
        <f t="shared" si="334"/>
        <v>5.1641076050594243</v>
      </c>
      <c r="BZ36" s="127">
        <f t="shared" si="335"/>
        <v>50.659895605632954</v>
      </c>
      <c r="CA36" s="127">
        <f t="shared" si="336"/>
        <v>5.2812996441634104</v>
      </c>
      <c r="CB36" s="127">
        <f t="shared" si="337"/>
        <v>0.19910499658496059</v>
      </c>
      <c r="CC36" s="138">
        <f t="shared" si="338"/>
        <v>0.40636505856826699</v>
      </c>
      <c r="CD36" s="139" t="e">
        <f>SUM(#REF!,CC30:CC36)</f>
        <v>#REF!</v>
      </c>
      <c r="CE36" s="126" t="e">
        <f>CE32-BB36</f>
        <v>#REF!</v>
      </c>
      <c r="CF36" s="130" t="e">
        <f>CF32+CB36</f>
        <v>#REF!</v>
      </c>
      <c r="CG36" s="140" t="e">
        <f t="shared" si="339"/>
        <v>#REF!</v>
      </c>
      <c r="CH36" s="141" t="s">
        <v>81</v>
      </c>
      <c r="CI36" s="127" t="e">
        <f t="shared" si="340"/>
        <v>#REF!</v>
      </c>
      <c r="CJ36" s="127" t="s">
        <v>82</v>
      </c>
      <c r="CK36" s="138" t="str">
        <f>LOOKUP((AP36)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6" s="142" t="e">
        <f t="shared" si="341"/>
        <v>#REF!</v>
      </c>
      <c r="CM36" s="126" t="s">
        <v>82</v>
      </c>
      <c r="CN36" s="127" t="str">
        <f>LOOKUP((AQ36)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6" s="130" t="s">
        <v>83</v>
      </c>
      <c r="CP36" s="126">
        <v>22</v>
      </c>
      <c r="CQ36" s="127">
        <v>20.27</v>
      </c>
      <c r="CR36" s="138">
        <f t="shared" si="342"/>
        <v>-1.7300000000000004</v>
      </c>
      <c r="CS36" s="141">
        <v>5.5</v>
      </c>
      <c r="CT36" s="127">
        <f t="shared" ref="CT36:CT51" si="345">CQ36+CS36+5-CP36</f>
        <v>8.77</v>
      </c>
      <c r="CU36" s="138" t="s">
        <v>90</v>
      </c>
      <c r="CV36" s="127">
        <f t="shared" ref="CV36:CV51" si="346">$CV$2+CP36-CQ36</f>
        <v>37.730000000000004</v>
      </c>
      <c r="CW36" s="126" t="s">
        <v>82</v>
      </c>
      <c r="CX36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36" s="126">
        <f t="shared" si="343"/>
        <v>1.0249437374999999</v>
      </c>
      <c r="CZ36" s="143" t="e">
        <f t="shared" ref="CZ36:CZ41" si="347">CD36+CG36</f>
        <v>#REF!</v>
      </c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</row>
    <row r="37" spans="1:124" s="144" customFormat="1" ht="16.5" customHeight="1" x14ac:dyDescent="0.25">
      <c r="A37" s="124" t="s">
        <v>116</v>
      </c>
      <c r="B37" s="125" t="s">
        <v>119</v>
      </c>
      <c r="C37" s="126">
        <v>1.38</v>
      </c>
      <c r="D37" s="126">
        <v>0.3</v>
      </c>
      <c r="E37" s="127">
        <f t="shared" si="277"/>
        <v>6.7200000000000149E-2</v>
      </c>
      <c r="F37" s="127">
        <f t="shared" si="278"/>
        <v>1.4352</v>
      </c>
      <c r="G37" s="127">
        <f t="shared" si="278"/>
        <v>0.312</v>
      </c>
      <c r="H37" s="127">
        <f t="shared" si="279"/>
        <v>1.7472000000000001</v>
      </c>
      <c r="I37" s="127">
        <f t="shared" si="280"/>
        <v>49.92</v>
      </c>
      <c r="J37" s="128">
        <f t="shared" si="281"/>
        <v>52.087898328429226</v>
      </c>
      <c r="K37" s="129">
        <v>159</v>
      </c>
      <c r="L37" s="127" t="s">
        <v>11</v>
      </c>
      <c r="M37" s="130">
        <v>4.5</v>
      </c>
      <c r="N37" s="131">
        <v>29</v>
      </c>
      <c r="O37" s="127" t="str">
        <f t="shared" si="282"/>
        <v>0,3</v>
      </c>
      <c r="P37" s="127">
        <f t="shared" si="283"/>
        <v>37.700000000000003</v>
      </c>
      <c r="Q37" s="127">
        <f t="shared" si="284"/>
        <v>0.81877071570826787</v>
      </c>
      <c r="R37" s="127">
        <f t="shared" si="285"/>
        <v>1.7671443749999998E-2</v>
      </c>
      <c r="S37" s="127" t="str">
        <f t="shared" si="286"/>
        <v>0,0005</v>
      </c>
      <c r="T37" s="127" t="s">
        <v>79</v>
      </c>
      <c r="U37" s="127" t="s">
        <v>80</v>
      </c>
      <c r="V37" s="127">
        <f t="shared" si="287"/>
        <v>958.38</v>
      </c>
      <c r="W37" s="132" t="str">
        <f>LOOKUP(AP37,{5,10,15,20,25,30,40,50,60,70,80,90,100,125,150},{"0,000181656","0,000156444","0,000136428","0,000120228","0,000106908","0,000095784","0,00007848","0,000065724","0,000056088","0,000048576","0,000042648","0,00003786","0,000033948","0,0000264","0,00002196"})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7" s="133">
        <f t="shared" si="288"/>
        <v>3.4749251862518006E-7</v>
      </c>
      <c r="Y37" s="127">
        <f t="shared" si="289"/>
        <v>958.38</v>
      </c>
      <c r="Z37" s="134">
        <f t="shared" si="290"/>
        <v>353433.81734417775</v>
      </c>
      <c r="AA37" s="134">
        <f t="shared" si="291"/>
        <v>168000</v>
      </c>
      <c r="AB37" s="127">
        <f t="shared" si="292"/>
        <v>2.6804332246803168E-2</v>
      </c>
      <c r="AC37" s="127">
        <f t="shared" si="293"/>
        <v>2.6925299052784474E-2</v>
      </c>
      <c r="AD37" s="135" t="str">
        <f t="shared" si="294"/>
        <v>0,0269252990527845</v>
      </c>
      <c r="AE37" s="127">
        <f t="shared" si="295"/>
        <v>353433.81734417775</v>
      </c>
      <c r="AF37" s="127">
        <f t="shared" si="296"/>
        <v>5.5483081014336744</v>
      </c>
      <c r="AG37" s="127">
        <f t="shared" si="297"/>
        <v>150000</v>
      </c>
      <c r="AH37" s="127">
        <f t="shared" si="298"/>
        <v>5.1760912590556813</v>
      </c>
      <c r="AI37" s="127">
        <f t="shared" si="299"/>
        <v>2.0719107959556915</v>
      </c>
      <c r="AJ37" s="127">
        <f t="shared" si="300"/>
        <v>2</v>
      </c>
      <c r="AK37" s="127">
        <f t="shared" si="301"/>
        <v>3.0453229787866576</v>
      </c>
      <c r="AL37" s="127">
        <f t="shared" si="302"/>
        <v>4.5483081014336744</v>
      </c>
      <c r="AM37" s="127">
        <f t="shared" si="303"/>
        <v>0</v>
      </c>
      <c r="AN37" s="127">
        <f t="shared" si="304"/>
        <v>0.16418619748477847</v>
      </c>
      <c r="AO37" s="127">
        <f t="shared" si="305"/>
        <v>2.6957107444510676E-2</v>
      </c>
      <c r="AP37" s="127">
        <v>105</v>
      </c>
      <c r="AQ37" s="127">
        <v>70</v>
      </c>
      <c r="AR37" s="127">
        <f t="shared" si="306"/>
        <v>35</v>
      </c>
      <c r="AS37" s="132" t="str">
        <f>LOOKUP(AP37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7" s="132">
        <v>105</v>
      </c>
      <c r="AU37" s="132">
        <v>70</v>
      </c>
      <c r="AV37" s="127">
        <f t="shared" si="307"/>
        <v>35</v>
      </c>
      <c r="AW37" s="127">
        <f t="shared" si="308"/>
        <v>0.15</v>
      </c>
      <c r="AX37" s="132" t="str">
        <f t="shared" si="309"/>
        <v>0,0269252990527845</v>
      </c>
      <c r="AY37" s="127">
        <f t="shared" si="310"/>
        <v>5.8821531848309467</v>
      </c>
      <c r="AZ37" s="127">
        <f t="shared" si="311"/>
        <v>57.70392274319159</v>
      </c>
      <c r="BA37" s="127">
        <f t="shared" si="312"/>
        <v>6.1376001010360675</v>
      </c>
      <c r="BB37" s="127">
        <f t="shared" si="313"/>
        <v>0.23138752380905975</v>
      </c>
      <c r="BC37" s="127">
        <f t="shared" si="314"/>
        <v>51.05286303065013</v>
      </c>
      <c r="BD37" s="127">
        <f t="shared" si="315"/>
        <v>0.80250097515927421</v>
      </c>
      <c r="BE37" s="127">
        <f t="shared" si="316"/>
        <v>977.81</v>
      </c>
      <c r="BF37" s="127" t="str">
        <f>LOOKUP(AQ37,{5,10,15,20,25,30,40,50,60,70,80,90,100,125,150},{"0,000181656","0,000156444","0,000136428","0,000120228","0,000106908","0,000095784","0,00007848","0,000065724","0,000056088","0,000048576","0,000042648","0,00003786","0,000033948","0,0000264","0,00002196"})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7" s="136">
        <f t="shared" si="317"/>
        <v>4.8734473977562104E-7</v>
      </c>
      <c r="BH37" s="127">
        <f t="shared" si="318"/>
        <v>977.81</v>
      </c>
      <c r="BI37" s="127">
        <f t="shared" si="319"/>
        <v>247002.0428030334</v>
      </c>
      <c r="BJ37" s="127">
        <f t="shared" si="320"/>
        <v>2.6960529374415468E-2</v>
      </c>
      <c r="BK37" s="135" t="str">
        <f t="shared" si="321"/>
        <v>0,0269252990527845</v>
      </c>
      <c r="BL37" s="127">
        <f t="shared" si="322"/>
        <v>247002.0428030334</v>
      </c>
      <c r="BM37" s="127">
        <f t="shared" si="323"/>
        <v>5.392700545058922</v>
      </c>
      <c r="BN37" s="127">
        <f t="shared" si="324"/>
        <v>150000</v>
      </c>
      <c r="BO37" s="127">
        <f t="shared" si="325"/>
        <v>5.1760912590556813</v>
      </c>
      <c r="BP37" s="127">
        <f t="shared" si="326"/>
        <v>2.0418480423088132</v>
      </c>
      <c r="BQ37" s="127">
        <f t="shared" si="327"/>
        <v>2</v>
      </c>
      <c r="BR37" s="127">
        <f t="shared" si="328"/>
        <v>3.0453229787866576</v>
      </c>
      <c r="BS37" s="127">
        <f t="shared" si="329"/>
        <v>4.392700545058922</v>
      </c>
      <c r="BT37" s="127">
        <f t="shared" si="330"/>
        <v>0</v>
      </c>
      <c r="BU37" s="127">
        <f t="shared" si="331"/>
        <v>0.16418619748477847</v>
      </c>
      <c r="BV37" s="127">
        <f t="shared" si="332"/>
        <v>2.6957107444510676E-2</v>
      </c>
      <c r="BW37" s="127" t="str">
        <f>LOOKUP(AQ37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7" s="137" t="str">
        <f t="shared" si="333"/>
        <v>0,0269252990527845</v>
      </c>
      <c r="BY37" s="127">
        <f t="shared" si="334"/>
        <v>5.7652692949328435</v>
      </c>
      <c r="BZ37" s="127">
        <f t="shared" si="335"/>
        <v>56.557291783291198</v>
      </c>
      <c r="CA37" s="127">
        <f t="shared" si="336"/>
        <v>5.8961038391229827</v>
      </c>
      <c r="CB37" s="127">
        <f t="shared" si="337"/>
        <v>0.22228311473493648</v>
      </c>
      <c r="CC37" s="138">
        <f t="shared" si="338"/>
        <v>0.45367063854399625</v>
      </c>
      <c r="CD37" s="139">
        <f>SUM(CC1:CC2,CC30:CC37)</f>
        <v>5.7780081600490858</v>
      </c>
      <c r="CE37" s="126" t="e">
        <f>CE33-BB37</f>
        <v>#REF!</v>
      </c>
      <c r="CF37" s="130" t="e">
        <f>CF33+CB37</f>
        <v>#REF!</v>
      </c>
      <c r="CG37" s="140" t="e">
        <f t="shared" si="339"/>
        <v>#REF!</v>
      </c>
      <c r="CH37" s="141" t="s">
        <v>81</v>
      </c>
      <c r="CI37" s="127" t="e">
        <f t="shared" si="340"/>
        <v>#REF!</v>
      </c>
      <c r="CJ37" s="127" t="s">
        <v>82</v>
      </c>
      <c r="CK37" s="138" t="str">
        <f>LOOKUP((AP37)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7" s="142" t="e">
        <f t="shared" si="341"/>
        <v>#REF!</v>
      </c>
      <c r="CM37" s="126" t="s">
        <v>82</v>
      </c>
      <c r="CN37" s="127" t="str">
        <f>LOOKUP((AQ37)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7" s="130" t="s">
        <v>83</v>
      </c>
      <c r="CP37" s="126">
        <v>22</v>
      </c>
      <c r="CQ37" s="127">
        <v>20.27</v>
      </c>
      <c r="CR37" s="138">
        <f t="shared" si="342"/>
        <v>-1.7300000000000004</v>
      </c>
      <c r="CS37" s="141">
        <v>5.5</v>
      </c>
      <c r="CT37" s="127">
        <f t="shared" si="345"/>
        <v>8.77</v>
      </c>
      <c r="CU37" s="138" t="s">
        <v>90</v>
      </c>
      <c r="CV37" s="127">
        <f t="shared" si="346"/>
        <v>37.730000000000004</v>
      </c>
      <c r="CW37" s="126" t="s">
        <v>82</v>
      </c>
      <c r="CX37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37" s="126">
        <f t="shared" si="343"/>
        <v>1.0249437374999999</v>
      </c>
      <c r="CZ37" s="143" t="e">
        <f t="shared" si="347"/>
        <v>#REF!</v>
      </c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</row>
    <row r="38" spans="1:124" s="144" customFormat="1" ht="16.5" customHeight="1" x14ac:dyDescent="0.25">
      <c r="A38" s="124" t="s">
        <v>114</v>
      </c>
      <c r="B38" s="125" t="s">
        <v>120</v>
      </c>
      <c r="C38" s="126">
        <v>1.34</v>
      </c>
      <c r="D38" s="126">
        <v>0.28000000000000003</v>
      </c>
      <c r="E38" s="127">
        <f t="shared" si="277"/>
        <v>6.480000000000008E-2</v>
      </c>
      <c r="F38" s="127">
        <f t="shared" si="278"/>
        <v>1.3936000000000002</v>
      </c>
      <c r="G38" s="127">
        <f t="shared" si="278"/>
        <v>0.29120000000000001</v>
      </c>
      <c r="H38" s="127">
        <f t="shared" si="279"/>
        <v>1.6848000000000001</v>
      </c>
      <c r="I38" s="127">
        <f t="shared" si="280"/>
        <v>48.137142857142862</v>
      </c>
      <c r="J38" s="128">
        <f t="shared" si="281"/>
        <v>50.227616245271044</v>
      </c>
      <c r="K38" s="129">
        <v>159</v>
      </c>
      <c r="L38" s="127" t="s">
        <v>11</v>
      </c>
      <c r="M38" s="130">
        <v>4.5</v>
      </c>
      <c r="N38" s="131">
        <v>28</v>
      </c>
      <c r="O38" s="127" t="str">
        <f t="shared" si="282"/>
        <v>0,3</v>
      </c>
      <c r="P38" s="127">
        <f t="shared" si="283"/>
        <v>36.4</v>
      </c>
      <c r="Q38" s="127">
        <f t="shared" si="284"/>
        <v>0.78952890443297263</v>
      </c>
      <c r="R38" s="127">
        <f t="shared" si="285"/>
        <v>1.7671443749999998E-2</v>
      </c>
      <c r="S38" s="127" t="str">
        <f t="shared" si="286"/>
        <v>0,0005</v>
      </c>
      <c r="T38" s="127" t="s">
        <v>79</v>
      </c>
      <c r="U38" s="127" t="s">
        <v>80</v>
      </c>
      <c r="V38" s="127">
        <f t="shared" si="287"/>
        <v>958.38</v>
      </c>
      <c r="W38" s="132" t="str">
        <f>LOOKUP(AP38,{5,10,15,20,25,30,40,50,60,70,80,90,100,125,150},{"0,000181656","0,000156444","0,000136428","0,000120228","0,000106908","0,000095784","0,00007848","0,000065724","0,000056088","0,000048576","0,000042648","0,00003786","0,000033948","0,0000264","0,00002196"})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8" s="133">
        <f t="shared" si="288"/>
        <v>3.4749251862518006E-7</v>
      </c>
      <c r="Y38" s="127">
        <f t="shared" si="289"/>
        <v>958.38</v>
      </c>
      <c r="Z38" s="134">
        <f t="shared" si="290"/>
        <v>340811.18101045711</v>
      </c>
      <c r="AA38" s="134">
        <f t="shared" si="291"/>
        <v>168000</v>
      </c>
      <c r="AB38" s="127">
        <f t="shared" si="292"/>
        <v>2.6817865553520722E-2</v>
      </c>
      <c r="AC38" s="127">
        <f t="shared" si="293"/>
        <v>2.6925299052784474E-2</v>
      </c>
      <c r="AD38" s="135" t="str">
        <f t="shared" si="294"/>
        <v>0,0269252990527845</v>
      </c>
      <c r="AE38" s="127">
        <f t="shared" si="295"/>
        <v>340811.18101045711</v>
      </c>
      <c r="AF38" s="127">
        <f t="shared" si="296"/>
        <v>5.5325138342504419</v>
      </c>
      <c r="AG38" s="127">
        <f t="shared" si="297"/>
        <v>150000</v>
      </c>
      <c r="AH38" s="127">
        <f t="shared" si="298"/>
        <v>5.1760912590556813</v>
      </c>
      <c r="AI38" s="127">
        <f t="shared" si="299"/>
        <v>2.0688594071001338</v>
      </c>
      <c r="AJ38" s="127">
        <f t="shared" si="300"/>
        <v>2</v>
      </c>
      <c r="AK38" s="127">
        <f t="shared" si="301"/>
        <v>3.0453229787866576</v>
      </c>
      <c r="AL38" s="127">
        <f t="shared" si="302"/>
        <v>4.5325138342504419</v>
      </c>
      <c r="AM38" s="127">
        <f t="shared" si="303"/>
        <v>0</v>
      </c>
      <c r="AN38" s="127">
        <f t="shared" si="304"/>
        <v>0.16418619748477847</v>
      </c>
      <c r="AO38" s="127">
        <f t="shared" si="305"/>
        <v>2.6957107444510676E-2</v>
      </c>
      <c r="AP38" s="127">
        <v>105</v>
      </c>
      <c r="AQ38" s="127">
        <v>70</v>
      </c>
      <c r="AR38" s="127">
        <f t="shared" si="306"/>
        <v>35</v>
      </c>
      <c r="AS38" s="132" t="str">
        <f>LOOKUP(AP38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8" s="132">
        <v>105</v>
      </c>
      <c r="AU38" s="132">
        <v>70</v>
      </c>
      <c r="AV38" s="127">
        <f t="shared" si="307"/>
        <v>35</v>
      </c>
      <c r="AW38" s="127">
        <f t="shared" si="308"/>
        <v>0.15</v>
      </c>
      <c r="AX38" s="132" t="str">
        <f t="shared" si="309"/>
        <v>0,0269252990527845</v>
      </c>
      <c r="AY38" s="127">
        <f t="shared" si="310"/>
        <v>5.469502132323675</v>
      </c>
      <c r="AZ38" s="127">
        <f t="shared" si="311"/>
        <v>53.655815918095257</v>
      </c>
      <c r="BA38" s="127">
        <f t="shared" si="312"/>
        <v>5.7070286653766518</v>
      </c>
      <c r="BB38" s="127">
        <f t="shared" si="313"/>
        <v>0.2077358434197101</v>
      </c>
      <c r="BC38" s="127">
        <f t="shared" si="314"/>
        <v>49.229546493841198</v>
      </c>
      <c r="BD38" s="127">
        <f t="shared" si="315"/>
        <v>0.77384022604644287</v>
      </c>
      <c r="BE38" s="127">
        <f t="shared" si="316"/>
        <v>977.81</v>
      </c>
      <c r="BF38" s="127" t="str">
        <f>LOOKUP(AQ38,{5,10,15,20,25,30,40,50,60,70,80,90,100,125,150},{"0,000181656","0,000156444","0,000136428","0,000120228","0,000106908","0,000095784","0,00007848","0,000065724","0,000056088","0,000048576","0,000042648","0,00003786","0,000033948","0,0000264","0,00002196"})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8" s="136">
        <f t="shared" si="317"/>
        <v>4.8734473977562104E-7</v>
      </c>
      <c r="BH38" s="127">
        <f t="shared" si="318"/>
        <v>977.81</v>
      </c>
      <c r="BI38" s="127">
        <f t="shared" si="319"/>
        <v>238180.5412743536</v>
      </c>
      <c r="BJ38" s="127">
        <f t="shared" si="320"/>
        <v>2.6979553751762517E-2</v>
      </c>
      <c r="BK38" s="135" t="str">
        <f t="shared" si="321"/>
        <v>0,0269252990527845</v>
      </c>
      <c r="BL38" s="127">
        <f t="shared" si="322"/>
        <v>238180.5412743536</v>
      </c>
      <c r="BM38" s="127">
        <f t="shared" si="323"/>
        <v>5.3769062778756904</v>
      </c>
      <c r="BN38" s="127">
        <f t="shared" si="324"/>
        <v>150000</v>
      </c>
      <c r="BO38" s="127">
        <f t="shared" si="325"/>
        <v>5.1760912590556813</v>
      </c>
      <c r="BP38" s="127">
        <f t="shared" si="326"/>
        <v>2.0387966534532556</v>
      </c>
      <c r="BQ38" s="127">
        <f t="shared" si="327"/>
        <v>2</v>
      </c>
      <c r="BR38" s="127">
        <f t="shared" si="328"/>
        <v>3.0453229787866576</v>
      </c>
      <c r="BS38" s="127">
        <f t="shared" si="329"/>
        <v>4.3769062778756904</v>
      </c>
      <c r="BT38" s="127">
        <f t="shared" si="330"/>
        <v>0</v>
      </c>
      <c r="BU38" s="127">
        <f t="shared" si="331"/>
        <v>0.16418619748477847</v>
      </c>
      <c r="BV38" s="127">
        <f t="shared" si="332"/>
        <v>2.6957107444510676E-2</v>
      </c>
      <c r="BW38" s="127" t="str">
        <f>LOOKUP(AQ38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8" s="137" t="str">
        <f t="shared" si="333"/>
        <v>0,0269252990527845</v>
      </c>
      <c r="BY38" s="127">
        <f t="shared" si="334"/>
        <v>5.36081800510975</v>
      </c>
      <c r="BZ38" s="127">
        <f t="shared" si="335"/>
        <v>52.58962463012665</v>
      </c>
      <c r="CA38" s="127">
        <f t="shared" si="336"/>
        <v>5.4824741055110406</v>
      </c>
      <c r="CB38" s="127">
        <f t="shared" si="337"/>
        <v>0.19956205744060188</v>
      </c>
      <c r="CC38" s="138">
        <f t="shared" si="338"/>
        <v>0.40729790086031198</v>
      </c>
      <c r="CD38" s="139">
        <f>SUM(CC2:CC2,CC32:CC38)</f>
        <v>4.5664390944184241</v>
      </c>
      <c r="CE38" s="126" t="e">
        <f>CE34-BB38</f>
        <v>#REF!</v>
      </c>
      <c r="CF38" s="130" t="e">
        <f>CF34+CB38</f>
        <v>#REF!</v>
      </c>
      <c r="CG38" s="140" t="e">
        <f t="shared" si="339"/>
        <v>#REF!</v>
      </c>
      <c r="CH38" s="141" t="s">
        <v>81</v>
      </c>
      <c r="CI38" s="127" t="e">
        <f t="shared" si="340"/>
        <v>#REF!</v>
      </c>
      <c r="CJ38" s="127" t="s">
        <v>82</v>
      </c>
      <c r="CK38" s="138" t="str">
        <f>LOOKUP((AP38)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8" s="142" t="e">
        <f t="shared" si="341"/>
        <v>#REF!</v>
      </c>
      <c r="CM38" s="126" t="s">
        <v>82</v>
      </c>
      <c r="CN38" s="127" t="str">
        <f>LOOKUP((AQ38)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8" s="130" t="s">
        <v>83</v>
      </c>
      <c r="CP38" s="126">
        <v>22</v>
      </c>
      <c r="CQ38" s="127">
        <v>20.27</v>
      </c>
      <c r="CR38" s="138">
        <f t="shared" si="342"/>
        <v>-1.7300000000000004</v>
      </c>
      <c r="CS38" s="141">
        <v>5.5</v>
      </c>
      <c r="CT38" s="127">
        <f t="shared" si="345"/>
        <v>8.77</v>
      </c>
      <c r="CU38" s="138" t="s">
        <v>90</v>
      </c>
      <c r="CV38" s="127">
        <f t="shared" si="346"/>
        <v>37.730000000000004</v>
      </c>
      <c r="CW38" s="126" t="s">
        <v>82</v>
      </c>
      <c r="CX38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38" s="126">
        <f t="shared" si="343"/>
        <v>0.98960084999999987</v>
      </c>
      <c r="CZ38" s="143" t="e">
        <f t="shared" si="347"/>
        <v>#REF!</v>
      </c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</row>
    <row r="39" spans="1:124" s="144" customFormat="1" ht="16.5" customHeight="1" x14ac:dyDescent="0.25">
      <c r="A39" s="124" t="s">
        <v>115</v>
      </c>
      <c r="B39" s="125" t="s">
        <v>121</v>
      </c>
      <c r="C39" s="126">
        <v>0.28999999999999998</v>
      </c>
      <c r="D39" s="126">
        <v>0.05</v>
      </c>
      <c r="E39" s="127">
        <f t="shared" si="277"/>
        <v>1.3600000000000001E-2</v>
      </c>
      <c r="F39" s="127">
        <f t="shared" si="278"/>
        <v>0.30159999999999998</v>
      </c>
      <c r="G39" s="127">
        <f t="shared" si="278"/>
        <v>5.2000000000000005E-2</v>
      </c>
      <c r="H39" s="127">
        <f t="shared" si="279"/>
        <v>0.35359999999999997</v>
      </c>
      <c r="I39" s="127">
        <f t="shared" si="280"/>
        <v>10.102857142857143</v>
      </c>
      <c r="J39" s="128">
        <f t="shared" si="281"/>
        <v>10.541598471229724</v>
      </c>
      <c r="K39" s="129">
        <v>89</v>
      </c>
      <c r="L39" s="127" t="s">
        <v>11</v>
      </c>
      <c r="M39" s="130">
        <v>4.5</v>
      </c>
      <c r="N39" s="131">
        <v>53</v>
      </c>
      <c r="O39" s="127" t="str">
        <f t="shared" si="282"/>
        <v>0,3</v>
      </c>
      <c r="P39" s="127">
        <f t="shared" si="283"/>
        <v>68.900000000000006</v>
      </c>
      <c r="Q39" s="127">
        <f t="shared" si="284"/>
        <v>0.58255170900002318</v>
      </c>
      <c r="R39" s="127">
        <f t="shared" si="285"/>
        <v>5.026544E-3</v>
      </c>
      <c r="S39" s="127" t="str">
        <f t="shared" si="286"/>
        <v>0,0005</v>
      </c>
      <c r="T39" s="127" t="s">
        <v>79</v>
      </c>
      <c r="U39" s="127" t="s">
        <v>80</v>
      </c>
      <c r="V39" s="127">
        <f t="shared" si="287"/>
        <v>958.38</v>
      </c>
      <c r="W39" s="132" t="str">
        <f>LOOKUP(AP39,{5,10,15,20,25,30,40,50,60,70,80,90,100,125,150},{"0,000181656","0,000156444","0,000136428","0,000120228","0,000106908","0,000095784","0,00007848","0,000065724","0,000056088","0,000048576","0,000042648","0,00003786","0,000033948","0,0000264","0,00002196"})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39" s="133">
        <f t="shared" si="288"/>
        <v>3.4749251862518006E-7</v>
      </c>
      <c r="Y39" s="127">
        <f t="shared" si="289"/>
        <v>958.38</v>
      </c>
      <c r="Z39" s="134">
        <f t="shared" si="290"/>
        <v>134115.51104578175</v>
      </c>
      <c r="AA39" s="134">
        <f t="shared" si="291"/>
        <v>89600</v>
      </c>
      <c r="AB39" s="127">
        <f t="shared" si="292"/>
        <v>3.1537813203236106E-2</v>
      </c>
      <c r="AC39" s="127">
        <f t="shared" si="293"/>
        <v>3.248549788373601E-2</v>
      </c>
      <c r="AD39" s="135" t="str">
        <f t="shared" si="294"/>
        <v>0,032485497883736</v>
      </c>
      <c r="AE39" s="127">
        <f t="shared" si="295"/>
        <v>134115.51104578175</v>
      </c>
      <c r="AF39" s="127">
        <f t="shared" si="296"/>
        <v>5.127479008813804</v>
      </c>
      <c r="AG39" s="127">
        <f t="shared" si="297"/>
        <v>80000</v>
      </c>
      <c r="AH39" s="127">
        <f t="shared" si="298"/>
        <v>4.9030899869919438</v>
      </c>
      <c r="AI39" s="127">
        <f t="shared" si="299"/>
        <v>2.0457648181895847</v>
      </c>
      <c r="AJ39" s="127">
        <f t="shared" si="300"/>
        <v>2</v>
      </c>
      <c r="AK39" s="127">
        <f t="shared" si="301"/>
        <v>2.77232170672292</v>
      </c>
      <c r="AL39" s="127">
        <f t="shared" si="302"/>
        <v>4.127479008813804</v>
      </c>
      <c r="AM39" s="127">
        <f t="shared" si="303"/>
        <v>0</v>
      </c>
      <c r="AN39" s="127">
        <f t="shared" si="304"/>
        <v>0.18035424921555562</v>
      </c>
      <c r="AO39" s="127">
        <f t="shared" si="305"/>
        <v>3.2527655210106747E-2</v>
      </c>
      <c r="AP39" s="127">
        <v>105</v>
      </c>
      <c r="AQ39" s="127">
        <v>70</v>
      </c>
      <c r="AR39" s="127">
        <f t="shared" si="306"/>
        <v>35</v>
      </c>
      <c r="AS39" s="132" t="str">
        <f>LOOKUP(AP39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39" s="132">
        <v>105</v>
      </c>
      <c r="AU39" s="132">
        <v>70</v>
      </c>
      <c r="AV39" s="127">
        <f t="shared" si="307"/>
        <v>35</v>
      </c>
      <c r="AW39" s="127">
        <f t="shared" si="308"/>
        <v>0.08</v>
      </c>
      <c r="AX39" s="132" t="str">
        <f t="shared" si="309"/>
        <v>0,032485497883736</v>
      </c>
      <c r="AY39" s="127">
        <f t="shared" si="310"/>
        <v>6.7361376468533161</v>
      </c>
      <c r="AZ39" s="127">
        <f t="shared" si="311"/>
        <v>66.081510315631036</v>
      </c>
      <c r="BA39" s="127">
        <f t="shared" si="312"/>
        <v>7.0286709310016029</v>
      </c>
      <c r="BB39" s="127">
        <f t="shared" si="313"/>
        <v>0.48427542714601046</v>
      </c>
      <c r="BC39" s="127">
        <f t="shared" si="314"/>
        <v>10.332127041917289</v>
      </c>
      <c r="BD39" s="127">
        <f t="shared" si="315"/>
        <v>0.57097586123218447</v>
      </c>
      <c r="BE39" s="127">
        <f t="shared" si="316"/>
        <v>977.81</v>
      </c>
      <c r="BF39" s="127" t="str">
        <f>LOOKUP(AQ39,{5,10,15,20,25,30,40,50,60,70,80,90,100,125,150},{"0,000181656","0,000156444","0,000136428","0,000120228","0,000106908","0,000095784","0,00007848","0,000065724","0,000056088","0,000048576","0,000042648","0,00003786","0,000033948","0,0000264","0,00002196"})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39" s="136">
        <f t="shared" si="317"/>
        <v>4.8734473977562104E-7</v>
      </c>
      <c r="BH39" s="127">
        <f t="shared" si="318"/>
        <v>977.81</v>
      </c>
      <c r="BI39" s="127">
        <f t="shared" si="319"/>
        <v>93728.453742222497</v>
      </c>
      <c r="BJ39" s="127">
        <f t="shared" si="320"/>
        <v>3.1789706775468551E-2</v>
      </c>
      <c r="BK39" s="135" t="str">
        <f t="shared" si="321"/>
        <v>0,032485497883736</v>
      </c>
      <c r="BL39" s="127">
        <f t="shared" si="322"/>
        <v>93728.453742222497</v>
      </c>
      <c r="BM39" s="127">
        <f t="shared" si="323"/>
        <v>4.9718714524390526</v>
      </c>
      <c r="BN39" s="127">
        <f t="shared" si="324"/>
        <v>80000</v>
      </c>
      <c r="BO39" s="127">
        <f t="shared" si="325"/>
        <v>4.9030899869919438</v>
      </c>
      <c r="BP39" s="127">
        <f t="shared" si="326"/>
        <v>2.0140281874551738</v>
      </c>
      <c r="BQ39" s="127">
        <f t="shared" si="327"/>
        <v>2</v>
      </c>
      <c r="BR39" s="127">
        <f t="shared" si="328"/>
        <v>2.77232170672292</v>
      </c>
      <c r="BS39" s="127">
        <f t="shared" si="329"/>
        <v>3.9718714524390526</v>
      </c>
      <c r="BT39" s="127">
        <f t="shared" si="330"/>
        <v>0</v>
      </c>
      <c r="BU39" s="127">
        <f t="shared" si="331"/>
        <v>0.18035424921555562</v>
      </c>
      <c r="BV39" s="127">
        <f t="shared" si="332"/>
        <v>3.2527655210106747E-2</v>
      </c>
      <c r="BW39" s="127" t="str">
        <f>LOOKUP(AQ39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39" s="137" t="str">
        <f t="shared" si="333"/>
        <v>0,032485497883736</v>
      </c>
      <c r="BY39" s="127">
        <f t="shared" si="334"/>
        <v>6.6022842863043758</v>
      </c>
      <c r="BZ39" s="127">
        <f t="shared" si="335"/>
        <v>64.768408848645933</v>
      </c>
      <c r="CA39" s="127">
        <f t="shared" si="336"/>
        <v>6.7521136890647222</v>
      </c>
      <c r="CB39" s="127">
        <f t="shared" si="337"/>
        <v>0.46522063317655937</v>
      </c>
      <c r="CC39" s="138">
        <f t="shared" si="338"/>
        <v>0.94949606032256983</v>
      </c>
      <c r="CD39" s="139" t="e">
        <f>SUM(#REF!,CC32:CC39)</f>
        <v>#REF!</v>
      </c>
      <c r="CE39" s="126" t="e">
        <f>CE35-BB39</f>
        <v>#REF!</v>
      </c>
      <c r="CF39" s="130" t="e">
        <f>CF35+CB39</f>
        <v>#REF!</v>
      </c>
      <c r="CG39" s="140" t="e">
        <f t="shared" si="339"/>
        <v>#REF!</v>
      </c>
      <c r="CH39" s="141" t="s">
        <v>81</v>
      </c>
      <c r="CI39" s="127" t="e">
        <f t="shared" si="340"/>
        <v>#REF!</v>
      </c>
      <c r="CJ39" s="127" t="s">
        <v>82</v>
      </c>
      <c r="CK39" s="138" t="str">
        <f>LOOKUP((AP39)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39" s="142" t="e">
        <f t="shared" si="341"/>
        <v>#REF!</v>
      </c>
      <c r="CM39" s="126" t="s">
        <v>82</v>
      </c>
      <c r="CN39" s="127" t="str">
        <f>LOOKUP((AQ39)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39" s="130" t="s">
        <v>83</v>
      </c>
      <c r="CP39" s="126">
        <v>22</v>
      </c>
      <c r="CQ39" s="127">
        <v>20.27</v>
      </c>
      <c r="CR39" s="138">
        <f t="shared" si="342"/>
        <v>-1.7300000000000004</v>
      </c>
      <c r="CS39" s="141">
        <v>5.5</v>
      </c>
      <c r="CT39" s="127">
        <f t="shared" si="345"/>
        <v>8.77</v>
      </c>
      <c r="CU39" s="138" t="s">
        <v>90</v>
      </c>
      <c r="CV39" s="127">
        <f t="shared" si="346"/>
        <v>37.730000000000004</v>
      </c>
      <c r="CW39" s="126" t="s">
        <v>82</v>
      </c>
      <c r="CX39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39" s="126">
        <f t="shared" si="343"/>
        <v>0.53281366399999996</v>
      </c>
      <c r="CZ39" s="143" t="e">
        <f t="shared" si="347"/>
        <v>#REF!</v>
      </c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</row>
    <row r="40" spans="1:124" s="144" customFormat="1" ht="16.5" customHeight="1" x14ac:dyDescent="0.25">
      <c r="A40" s="124" t="s">
        <v>117</v>
      </c>
      <c r="B40" s="125" t="s">
        <v>122</v>
      </c>
      <c r="C40" s="126">
        <v>1.34</v>
      </c>
      <c r="D40" s="126">
        <v>0.28000000000000003</v>
      </c>
      <c r="E40" s="127">
        <f t="shared" si="277"/>
        <v>6.480000000000008E-2</v>
      </c>
      <c r="F40" s="127">
        <f t="shared" si="278"/>
        <v>1.3936000000000002</v>
      </c>
      <c r="G40" s="127">
        <f t="shared" si="278"/>
        <v>0.29120000000000001</v>
      </c>
      <c r="H40" s="127">
        <f t="shared" si="279"/>
        <v>1.6848000000000001</v>
      </c>
      <c r="I40" s="127">
        <f t="shared" si="280"/>
        <v>48.137142857142862</v>
      </c>
      <c r="J40" s="128">
        <f t="shared" si="281"/>
        <v>50.227616245271044</v>
      </c>
      <c r="K40" s="129">
        <v>159</v>
      </c>
      <c r="L40" s="127" t="s">
        <v>11</v>
      </c>
      <c r="M40" s="130">
        <v>4.5</v>
      </c>
      <c r="N40" s="131">
        <v>21</v>
      </c>
      <c r="O40" s="127" t="str">
        <f t="shared" si="282"/>
        <v>0,3</v>
      </c>
      <c r="P40" s="127">
        <f t="shared" si="283"/>
        <v>27.3</v>
      </c>
      <c r="Q40" s="127">
        <f t="shared" si="284"/>
        <v>0.78952890443297263</v>
      </c>
      <c r="R40" s="127">
        <f t="shared" si="285"/>
        <v>1.7671443749999998E-2</v>
      </c>
      <c r="S40" s="127" t="str">
        <f t="shared" si="286"/>
        <v>0,0005</v>
      </c>
      <c r="T40" s="127" t="s">
        <v>79</v>
      </c>
      <c r="U40" s="127" t="s">
        <v>80</v>
      </c>
      <c r="V40" s="127">
        <f t="shared" si="287"/>
        <v>958.38</v>
      </c>
      <c r="W40" s="132" t="str">
        <f>LOOKUP(AP40,{5,10,15,20,25,30,40,50,60,70,80,90,100,125,150},{"0,000181656","0,000156444","0,000136428","0,000120228","0,000106908","0,000095784","0,00007848","0,000065724","0,000056088","0,000048576","0,000042648","0,00003786","0,000033948","0,0000264","0,00002196"})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40" s="133">
        <f t="shared" si="288"/>
        <v>3.4749251862518006E-7</v>
      </c>
      <c r="Y40" s="127">
        <f t="shared" si="289"/>
        <v>958.38</v>
      </c>
      <c r="Z40" s="134">
        <f t="shared" si="290"/>
        <v>340811.18101045711</v>
      </c>
      <c r="AA40" s="134">
        <f t="shared" si="291"/>
        <v>168000</v>
      </c>
      <c r="AB40" s="127">
        <f t="shared" si="292"/>
        <v>2.6817865553520722E-2</v>
      </c>
      <c r="AC40" s="127">
        <f t="shared" si="293"/>
        <v>2.6925299052784474E-2</v>
      </c>
      <c r="AD40" s="135" t="str">
        <f t="shared" si="294"/>
        <v>0,0269252990527845</v>
      </c>
      <c r="AE40" s="127">
        <f t="shared" si="295"/>
        <v>340811.18101045711</v>
      </c>
      <c r="AF40" s="127">
        <f t="shared" si="296"/>
        <v>5.5325138342504419</v>
      </c>
      <c r="AG40" s="127">
        <f t="shared" si="297"/>
        <v>150000</v>
      </c>
      <c r="AH40" s="127">
        <f t="shared" si="298"/>
        <v>5.1760912590556813</v>
      </c>
      <c r="AI40" s="127">
        <f t="shared" si="299"/>
        <v>2.0688594071001338</v>
      </c>
      <c r="AJ40" s="127">
        <f t="shared" si="300"/>
        <v>2</v>
      </c>
      <c r="AK40" s="127">
        <f t="shared" si="301"/>
        <v>3.0453229787866576</v>
      </c>
      <c r="AL40" s="127">
        <f t="shared" si="302"/>
        <v>4.5325138342504419</v>
      </c>
      <c r="AM40" s="127">
        <f t="shared" si="303"/>
        <v>0</v>
      </c>
      <c r="AN40" s="127">
        <f t="shared" si="304"/>
        <v>0.16418619748477847</v>
      </c>
      <c r="AO40" s="127">
        <f t="shared" si="305"/>
        <v>2.6957107444510676E-2</v>
      </c>
      <c r="AP40" s="127">
        <v>105</v>
      </c>
      <c r="AQ40" s="127">
        <v>70</v>
      </c>
      <c r="AR40" s="127">
        <f t="shared" si="306"/>
        <v>35</v>
      </c>
      <c r="AS40" s="132" t="str">
        <f>LOOKUP(AP40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40" s="132">
        <v>105</v>
      </c>
      <c r="AU40" s="132">
        <v>70</v>
      </c>
      <c r="AV40" s="127">
        <f t="shared" si="307"/>
        <v>35</v>
      </c>
      <c r="AW40" s="127">
        <f t="shared" si="308"/>
        <v>0.15</v>
      </c>
      <c r="AX40" s="132" t="str">
        <f t="shared" si="309"/>
        <v>0,0269252990527845</v>
      </c>
      <c r="AY40" s="127">
        <f t="shared" si="310"/>
        <v>5.469502132323675</v>
      </c>
      <c r="AZ40" s="127">
        <f t="shared" si="311"/>
        <v>53.655815918095257</v>
      </c>
      <c r="BA40" s="127">
        <f t="shared" si="312"/>
        <v>5.7070286653766518</v>
      </c>
      <c r="BB40" s="127">
        <f t="shared" si="313"/>
        <v>0.15580188256478261</v>
      </c>
      <c r="BC40" s="127">
        <f t="shared" si="314"/>
        <v>49.229546493841198</v>
      </c>
      <c r="BD40" s="127">
        <f t="shared" si="315"/>
        <v>0.77384022604644287</v>
      </c>
      <c r="BE40" s="127">
        <f t="shared" si="316"/>
        <v>977.81</v>
      </c>
      <c r="BF40" s="127" t="str">
        <f>LOOKUP(AQ40,{5,10,15,20,25,30,40,50,60,70,80,90,100,125,150},{"0,000181656","0,000156444","0,000136428","0,000120228","0,000106908","0,000095784","0,00007848","0,000065724","0,000056088","0,000048576","0,000042648","0,00003786","0,000033948","0,0000264","0,00002196"})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40" s="136">
        <f t="shared" si="317"/>
        <v>4.8734473977562104E-7</v>
      </c>
      <c r="BH40" s="127">
        <f t="shared" si="318"/>
        <v>977.81</v>
      </c>
      <c r="BI40" s="127">
        <f t="shared" si="319"/>
        <v>238180.5412743536</v>
      </c>
      <c r="BJ40" s="127">
        <f t="shared" si="320"/>
        <v>2.6979553751762517E-2</v>
      </c>
      <c r="BK40" s="135" t="str">
        <f t="shared" si="321"/>
        <v>0,0269252990527845</v>
      </c>
      <c r="BL40" s="127">
        <f t="shared" si="322"/>
        <v>238180.5412743536</v>
      </c>
      <c r="BM40" s="127">
        <f t="shared" si="323"/>
        <v>5.3769062778756904</v>
      </c>
      <c r="BN40" s="127">
        <f t="shared" si="324"/>
        <v>150000</v>
      </c>
      <c r="BO40" s="127">
        <f t="shared" si="325"/>
        <v>5.1760912590556813</v>
      </c>
      <c r="BP40" s="127">
        <f t="shared" si="326"/>
        <v>2.0387966534532556</v>
      </c>
      <c r="BQ40" s="127">
        <f t="shared" si="327"/>
        <v>2</v>
      </c>
      <c r="BR40" s="127">
        <f t="shared" si="328"/>
        <v>3.0453229787866576</v>
      </c>
      <c r="BS40" s="127">
        <f t="shared" si="329"/>
        <v>4.3769062778756904</v>
      </c>
      <c r="BT40" s="127">
        <f t="shared" si="330"/>
        <v>0</v>
      </c>
      <c r="BU40" s="127">
        <f t="shared" si="331"/>
        <v>0.16418619748477847</v>
      </c>
      <c r="BV40" s="127">
        <f t="shared" si="332"/>
        <v>2.6957107444510676E-2</v>
      </c>
      <c r="BW40" s="127" t="str">
        <f>LOOKUP(AQ40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40" s="137" t="str">
        <f t="shared" si="333"/>
        <v>0,0269252990527845</v>
      </c>
      <c r="BY40" s="127">
        <f t="shared" si="334"/>
        <v>5.36081800510975</v>
      </c>
      <c r="BZ40" s="127">
        <f t="shared" si="335"/>
        <v>52.58962463012665</v>
      </c>
      <c r="CA40" s="127">
        <f t="shared" si="336"/>
        <v>5.4824741055110406</v>
      </c>
      <c r="CB40" s="127">
        <f t="shared" si="337"/>
        <v>0.14967154308045141</v>
      </c>
      <c r="CC40" s="138">
        <f t="shared" si="338"/>
        <v>0.30547342564523405</v>
      </c>
      <c r="CD40" s="139" t="e">
        <f>SUM(#REF!,CC33:CC40)</f>
        <v>#REF!</v>
      </c>
      <c r="CE40" s="126" t="e">
        <f>#REF!-BB40</f>
        <v>#REF!</v>
      </c>
      <c r="CF40" s="130" t="e">
        <f>#REF!+CB40</f>
        <v>#REF!</v>
      </c>
      <c r="CG40" s="140" t="e">
        <f t="shared" si="339"/>
        <v>#REF!</v>
      </c>
      <c r="CH40" s="141" t="s">
        <v>81</v>
      </c>
      <c r="CI40" s="127" t="e">
        <f t="shared" si="340"/>
        <v>#REF!</v>
      </c>
      <c r="CJ40" s="127" t="s">
        <v>82</v>
      </c>
      <c r="CK40" s="138" t="str">
        <f>LOOKUP((AP40)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40" s="142" t="e">
        <f t="shared" si="341"/>
        <v>#REF!</v>
      </c>
      <c r="CM40" s="126" t="s">
        <v>82</v>
      </c>
      <c r="CN40" s="127" t="str">
        <f>LOOKUP((AQ40)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40" s="130" t="s">
        <v>83</v>
      </c>
      <c r="CP40" s="126">
        <v>22</v>
      </c>
      <c r="CQ40" s="127">
        <v>20.27</v>
      </c>
      <c r="CR40" s="138">
        <f t="shared" si="342"/>
        <v>-1.7300000000000004</v>
      </c>
      <c r="CS40" s="141">
        <v>5.5</v>
      </c>
      <c r="CT40" s="127">
        <f t="shared" si="345"/>
        <v>8.77</v>
      </c>
      <c r="CU40" s="138" t="s">
        <v>90</v>
      </c>
      <c r="CV40" s="127">
        <f t="shared" si="346"/>
        <v>37.730000000000004</v>
      </c>
      <c r="CW40" s="126" t="s">
        <v>82</v>
      </c>
      <c r="CX40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40" s="126">
        <f t="shared" si="343"/>
        <v>0.74220063749999987</v>
      </c>
      <c r="CZ40" s="143" t="e">
        <f t="shared" si="347"/>
        <v>#REF!</v>
      </c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</row>
    <row r="41" spans="1:124" s="144" customFormat="1" ht="16.5" customHeight="1" x14ac:dyDescent="0.25">
      <c r="A41" s="124" t="s">
        <v>117</v>
      </c>
      <c r="B41" s="125" t="s">
        <v>123</v>
      </c>
      <c r="C41" s="126">
        <v>0.44</v>
      </c>
      <c r="D41" s="126">
        <v>0.19</v>
      </c>
      <c r="E41" s="127">
        <f t="shared" si="277"/>
        <v>2.52E-2</v>
      </c>
      <c r="F41" s="127">
        <f t="shared" si="278"/>
        <v>0.45760000000000001</v>
      </c>
      <c r="G41" s="127">
        <f t="shared" si="278"/>
        <v>0.1976</v>
      </c>
      <c r="H41" s="127">
        <f t="shared" si="279"/>
        <v>0.6552</v>
      </c>
      <c r="I41" s="127">
        <f t="shared" si="280"/>
        <v>18.72</v>
      </c>
      <c r="J41" s="128">
        <f t="shared" si="281"/>
        <v>19.532961873160957</v>
      </c>
      <c r="K41" s="129">
        <v>108</v>
      </c>
      <c r="L41" s="127" t="s">
        <v>11</v>
      </c>
      <c r="M41" s="130">
        <v>4</v>
      </c>
      <c r="N41" s="131">
        <f>52+26</f>
        <v>78</v>
      </c>
      <c r="O41" s="127" t="str">
        <f t="shared" si="282"/>
        <v>0,3</v>
      </c>
      <c r="P41" s="127">
        <f t="shared" si="283"/>
        <v>101.4</v>
      </c>
      <c r="Q41" s="127">
        <f t="shared" si="284"/>
        <v>0.69083779137885071</v>
      </c>
      <c r="R41" s="127">
        <f t="shared" si="285"/>
        <v>7.8539750000000009E-3</v>
      </c>
      <c r="S41" s="127" t="str">
        <f t="shared" si="286"/>
        <v>0,0005</v>
      </c>
      <c r="T41" s="127" t="s">
        <v>79</v>
      </c>
      <c r="U41" s="127" t="s">
        <v>80</v>
      </c>
      <c r="V41" s="127">
        <f t="shared" si="287"/>
        <v>958.38</v>
      </c>
      <c r="W41" s="132" t="str">
        <f>LOOKUP(AP41,{5,10,15,20,25,30,40,50,60,70,80,90,100,125,150},{"0,000181656","0,000156444","0,000136428","0,000120228","0,000106908","0,000095784","0,00007848","0,000065724","0,000056088","0,000048576","0,000042648","0,00003786","0,000033948","0,0000264","0,00002196"})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41" s="133">
        <f t="shared" si="288"/>
        <v>3.4749251862518006E-7</v>
      </c>
      <c r="Y41" s="127">
        <f t="shared" si="289"/>
        <v>958.38</v>
      </c>
      <c r="Z41" s="134">
        <f t="shared" si="290"/>
        <v>198806.52225609991</v>
      </c>
      <c r="AA41" s="134">
        <f t="shared" si="291"/>
        <v>112000</v>
      </c>
      <c r="AB41" s="127">
        <f t="shared" si="292"/>
        <v>2.9738529594072118E-2</v>
      </c>
      <c r="AC41" s="127">
        <f t="shared" si="293"/>
        <v>3.0329450982592862E-2</v>
      </c>
      <c r="AD41" s="135" t="str">
        <f t="shared" si="294"/>
        <v>0,0303294509825929</v>
      </c>
      <c r="AE41" s="127">
        <f t="shared" si="295"/>
        <v>198806.52225609991</v>
      </c>
      <c r="AF41" s="127">
        <f t="shared" si="296"/>
        <v>5.2984306282170737</v>
      </c>
      <c r="AG41" s="127">
        <f t="shared" si="297"/>
        <v>100000</v>
      </c>
      <c r="AH41" s="127">
        <f t="shared" si="298"/>
        <v>5</v>
      </c>
      <c r="AI41" s="127">
        <f t="shared" si="299"/>
        <v>2.0596861256434149</v>
      </c>
      <c r="AJ41" s="127">
        <f t="shared" si="300"/>
        <v>2</v>
      </c>
      <c r="AK41" s="127">
        <f t="shared" si="301"/>
        <v>2.8692317197309762</v>
      </c>
      <c r="AL41" s="127">
        <f t="shared" si="302"/>
        <v>4.2984306282170737</v>
      </c>
      <c r="AM41" s="127">
        <f t="shared" si="303"/>
        <v>0</v>
      </c>
      <c r="AN41" s="127">
        <f t="shared" si="304"/>
        <v>0.17426267685583818</v>
      </c>
      <c r="AO41" s="127">
        <f t="shared" si="305"/>
        <v>3.0367480544962282E-2</v>
      </c>
      <c r="AP41" s="127">
        <v>105</v>
      </c>
      <c r="AQ41" s="127">
        <v>70</v>
      </c>
      <c r="AR41" s="127">
        <f t="shared" si="306"/>
        <v>35</v>
      </c>
      <c r="AS41" s="132" t="str">
        <f>LOOKUP(AP41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41" s="132">
        <v>105</v>
      </c>
      <c r="AU41" s="132">
        <v>70</v>
      </c>
      <c r="AV41" s="127">
        <f t="shared" si="307"/>
        <v>35</v>
      </c>
      <c r="AW41" s="127">
        <f t="shared" si="308"/>
        <v>0.1</v>
      </c>
      <c r="AX41" s="132" t="str">
        <f t="shared" si="309"/>
        <v>0,0303294509825929</v>
      </c>
      <c r="AY41" s="127">
        <f t="shared" si="310"/>
        <v>7.0755332202145915</v>
      </c>
      <c r="AZ41" s="127">
        <f t="shared" si="311"/>
        <v>69.41098089030514</v>
      </c>
      <c r="BA41" s="127">
        <f t="shared" si="312"/>
        <v>7.3828055888213351</v>
      </c>
      <c r="BB41" s="127">
        <f t="shared" si="313"/>
        <v>0.7486164867064834</v>
      </c>
      <c r="BC41" s="127">
        <f t="shared" si="314"/>
        <v>19.144823636493797</v>
      </c>
      <c r="BD41" s="127">
        <f t="shared" si="315"/>
        <v>0.6771101977906373</v>
      </c>
      <c r="BE41" s="127">
        <f t="shared" si="316"/>
        <v>977.81</v>
      </c>
      <c r="BF41" s="127" t="str">
        <f>LOOKUP(AQ41,{5,10,15,20,25,30,40,50,60,70,80,90,100,125,150},{"0,000181656","0,000156444","0,000136428","0,000120228","0,000106908","0,000095784","0,00007848","0,000065724","0,000056088","0,000048576","0,000042648","0,00003786","0,000033948","0,0000264","0,00002196"})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41" s="136">
        <f t="shared" si="317"/>
        <v>4.8734473977562104E-7</v>
      </c>
      <c r="BH41" s="127">
        <f t="shared" si="318"/>
        <v>977.81</v>
      </c>
      <c r="BI41" s="127">
        <f t="shared" si="319"/>
        <v>138938.64907670624</v>
      </c>
      <c r="BJ41" s="127">
        <f t="shared" si="320"/>
        <v>2.9941557811347726E-2</v>
      </c>
      <c r="BK41" s="135" t="str">
        <f t="shared" si="321"/>
        <v>0,0303294509825929</v>
      </c>
      <c r="BL41" s="127">
        <f t="shared" si="322"/>
        <v>138938.64907670624</v>
      </c>
      <c r="BM41" s="127">
        <f t="shared" si="323"/>
        <v>5.1428230718423222</v>
      </c>
      <c r="BN41" s="127">
        <f t="shared" si="324"/>
        <v>100000</v>
      </c>
      <c r="BO41" s="127">
        <f t="shared" si="325"/>
        <v>5</v>
      </c>
      <c r="BP41" s="127">
        <f t="shared" si="326"/>
        <v>2.0285646143684644</v>
      </c>
      <c r="BQ41" s="127">
        <f t="shared" si="327"/>
        <v>2</v>
      </c>
      <c r="BR41" s="127">
        <f t="shared" si="328"/>
        <v>2.8692317197309762</v>
      </c>
      <c r="BS41" s="127">
        <f t="shared" si="329"/>
        <v>4.1428230718423222</v>
      </c>
      <c r="BT41" s="127">
        <f t="shared" si="330"/>
        <v>0</v>
      </c>
      <c r="BU41" s="127">
        <f t="shared" si="331"/>
        <v>0.17426267685583818</v>
      </c>
      <c r="BV41" s="127">
        <f t="shared" si="332"/>
        <v>3.0367480544962282E-2</v>
      </c>
      <c r="BW41" s="127" t="str">
        <f>LOOKUP(AQ41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41" s="137" t="str">
        <f t="shared" si="333"/>
        <v>0,0303294509825929</v>
      </c>
      <c r="BY41" s="127">
        <f t="shared" si="334"/>
        <v>6.9349357519244643</v>
      </c>
      <c r="BZ41" s="127">
        <f t="shared" si="335"/>
        <v>68.031719726378995</v>
      </c>
      <c r="CA41" s="127">
        <f t="shared" si="336"/>
        <v>7.092314204113749</v>
      </c>
      <c r="CB41" s="127">
        <f t="shared" si="337"/>
        <v>0.71916066029713421</v>
      </c>
      <c r="CC41" s="138">
        <f t="shared" si="338"/>
        <v>1.4677771470036176</v>
      </c>
      <c r="CD41" s="139" t="e">
        <f>SUM(#REF!,CC33,CC34,CC41)</f>
        <v>#REF!</v>
      </c>
      <c r="CE41" s="126" t="e">
        <f>CE34-BB41</f>
        <v>#REF!</v>
      </c>
      <c r="CF41" s="130" t="e">
        <f>CF34+CB41</f>
        <v>#REF!</v>
      </c>
      <c r="CG41" s="140" t="e">
        <f t="shared" si="339"/>
        <v>#REF!</v>
      </c>
      <c r="CH41" s="141" t="s">
        <v>81</v>
      </c>
      <c r="CI41" s="127" t="e">
        <f t="shared" si="340"/>
        <v>#REF!</v>
      </c>
      <c r="CJ41" s="127" t="s">
        <v>82</v>
      </c>
      <c r="CK41" s="138" t="str">
        <f>LOOKUP((AP41)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41" s="142" t="e">
        <f t="shared" si="341"/>
        <v>#REF!</v>
      </c>
      <c r="CM41" s="126" t="s">
        <v>82</v>
      </c>
      <c r="CN41" s="127" t="str">
        <f>LOOKUP((AQ41)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41" s="130" t="s">
        <v>83</v>
      </c>
      <c r="CP41" s="126">
        <v>22</v>
      </c>
      <c r="CQ41" s="127">
        <v>20.27</v>
      </c>
      <c r="CR41" s="138">
        <f t="shared" si="342"/>
        <v>-1.7300000000000004</v>
      </c>
      <c r="CS41" s="141">
        <v>5.5</v>
      </c>
      <c r="CT41" s="127">
        <f t="shared" si="345"/>
        <v>8.77</v>
      </c>
      <c r="CU41" s="138" t="s">
        <v>90</v>
      </c>
      <c r="CV41" s="127">
        <f t="shared" si="346"/>
        <v>37.730000000000004</v>
      </c>
      <c r="CW41" s="126" t="s">
        <v>82</v>
      </c>
      <c r="CX41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41" s="126">
        <f t="shared" si="343"/>
        <v>1.2252201</v>
      </c>
      <c r="CZ41" s="143" t="e">
        <f t="shared" si="347"/>
        <v>#REF!</v>
      </c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</row>
    <row r="42" spans="1:124" s="123" customFormat="1" ht="16.5" customHeight="1" x14ac:dyDescent="0.25">
      <c r="A42" s="171" t="s">
        <v>124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2"/>
      <c r="L42" s="107"/>
      <c r="M42" s="107"/>
      <c r="N42" s="172"/>
      <c r="O42" s="107"/>
      <c r="P42" s="107"/>
      <c r="Q42" s="107"/>
      <c r="R42" s="107"/>
      <c r="S42" s="107"/>
      <c r="T42" s="107"/>
      <c r="U42" s="107"/>
      <c r="V42" s="107"/>
      <c r="W42" s="110"/>
      <c r="X42" s="111"/>
      <c r="Y42" s="107"/>
      <c r="Z42" s="112"/>
      <c r="AA42" s="112"/>
      <c r="AB42" s="107"/>
      <c r="AC42" s="107"/>
      <c r="AD42" s="113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10"/>
      <c r="AT42" s="110"/>
      <c r="AU42" s="110"/>
      <c r="AV42" s="107"/>
      <c r="AW42" s="107"/>
      <c r="AX42" s="110"/>
      <c r="AY42" s="107"/>
      <c r="AZ42" s="107"/>
      <c r="BA42" s="107"/>
      <c r="BB42" s="107"/>
      <c r="BC42" s="107"/>
      <c r="BD42" s="107"/>
      <c r="BE42" s="107"/>
      <c r="BF42" s="107"/>
      <c r="BG42" s="114"/>
      <c r="BH42" s="107"/>
      <c r="BI42" s="107"/>
      <c r="BJ42" s="107"/>
      <c r="BK42" s="113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15"/>
      <c r="BY42" s="107"/>
      <c r="BZ42" s="107"/>
      <c r="CA42" s="107"/>
      <c r="CB42" s="107"/>
      <c r="CC42" s="107"/>
      <c r="CD42" s="11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</row>
    <row r="43" spans="1:124" s="191" customFormat="1" ht="16.5" customHeight="1" x14ac:dyDescent="0.25">
      <c r="A43" s="173" t="s">
        <v>96</v>
      </c>
      <c r="B43" s="174" t="s">
        <v>125</v>
      </c>
      <c r="C43" s="96">
        <f t="shared" ref="C43:D45" si="348">C44+C48</f>
        <v>9.5500000000000007</v>
      </c>
      <c r="D43" s="96">
        <f t="shared" si="348"/>
        <v>2.2300000000000004</v>
      </c>
      <c r="E43" s="175">
        <f t="shared" ref="E43:E46" si="349">(F43-C43)+(G43-D43)</f>
        <v>0.47119999999999962</v>
      </c>
      <c r="F43" s="175">
        <f t="shared" ref="F43:G51" si="350">C43*1.04</f>
        <v>9.9320000000000004</v>
      </c>
      <c r="G43" s="175">
        <f t="shared" si="350"/>
        <v>2.3192000000000004</v>
      </c>
      <c r="H43" s="175">
        <f t="shared" ref="H43:H46" si="351">F43+G43</f>
        <v>12.251200000000001</v>
      </c>
      <c r="I43" s="175">
        <f t="shared" ref="I43:I46" si="352">((F43/(AP43-AQ43))+(G43/(AT43-AU43)))*1000</f>
        <v>350.03428571428572</v>
      </c>
      <c r="J43" s="176">
        <f t="shared" ref="J43:J46" si="353">I43/AS43</f>
        <v>365.23538232672394</v>
      </c>
      <c r="K43" s="177">
        <v>377</v>
      </c>
      <c r="L43" s="175" t="s">
        <v>11</v>
      </c>
      <c r="M43" s="97">
        <v>7</v>
      </c>
      <c r="N43" s="178">
        <v>128</v>
      </c>
      <c r="O43" s="175" t="str">
        <f t="shared" ref="O43:O46" si="354">IF(K43&lt;159,"0,3",IF((K43&gt;159),"0,4","0,3"))</f>
        <v>0,4</v>
      </c>
      <c r="P43" s="175">
        <f t="shared" ref="P43:P46" si="355">N43*(1+O43)</f>
        <v>179.2</v>
      </c>
      <c r="Q43" s="175">
        <f t="shared" ref="Q43:Q46" si="356">(J43/3600)/R43</f>
        <v>0.98031935666671888</v>
      </c>
      <c r="R43" s="175">
        <f t="shared" ref="R43:R46" si="357">(3.14159*AW43^2)/4</f>
        <v>0.10349104317749999</v>
      </c>
      <c r="S43" s="175" t="str">
        <f t="shared" ref="S43:S46" si="358">IF(T43="сталь","0,0005",IF((T43="изола"),"0,000007"))</f>
        <v>0,0005</v>
      </c>
      <c r="T43" s="175" t="s">
        <v>79</v>
      </c>
      <c r="U43" s="175" t="s">
        <v>80</v>
      </c>
      <c r="V43" s="175">
        <f t="shared" ref="V43:V46" si="359">Y43</f>
        <v>958.38</v>
      </c>
      <c r="W43" s="179" t="str">
        <f>LOOKUP(AP43,{5,10,15,20,25,30,40,50,60,70,80,90,100,125,150},{"0,000181656","0,000156444","0,000136428","0,000120228","0,000106908","0,000095784","0,00007848","0,000065724","0,000056088","0,000048576","0,000042648","0,00003786","0,000033948","0,0000264","0,00002196"})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43" s="180">
        <f t="shared" ref="X43:X46" si="360">(W43*9.81)/V43</f>
        <v>3.4749251862518006E-7</v>
      </c>
      <c r="Y43" s="175">
        <f t="shared" ref="Y43:Y46" si="361">AS43*1000</f>
        <v>958.38</v>
      </c>
      <c r="Z43" s="181">
        <f t="shared" ref="Z43:Z46" si="362">(Q43*AW43)/X43</f>
        <v>1024067.8788652138</v>
      </c>
      <c r="AA43" s="181">
        <f t="shared" ref="AA43:AA46" si="363">560*AW43/S43</f>
        <v>406560</v>
      </c>
      <c r="AB43" s="175">
        <f t="shared" ref="AB43:AB46" si="364">0.11*(((S43/AW43)+(68/Z43))^0.25)</f>
        <v>2.1442250764981102E-2</v>
      </c>
      <c r="AC43" s="175">
        <f t="shared" ref="AC43:AC46" si="365">1/(1.14+2*LOG(AW43/S43))^2</f>
        <v>2.1238048965498253E-2</v>
      </c>
      <c r="AD43" s="182" t="str">
        <f t="shared" ref="AD43:AD46" si="366">IF(Z43&lt;AA43,""&amp;AB43,IF((Z43&gt;AA43),""&amp;AC43))</f>
        <v>0,0212380489654983</v>
      </c>
      <c r="AE43" s="175">
        <f t="shared" ref="AE43:AE46" si="367">(Q43*AW43)/X43</f>
        <v>1024067.8788652138</v>
      </c>
      <c r="AF43" s="175">
        <f t="shared" ref="AF43:AF46" si="368">LOG10(AE43)</f>
        <v>6.0103287441784623</v>
      </c>
      <c r="AG43" s="175">
        <f t="shared" ref="AG43:AG46" si="369">(500*AW43)/S43</f>
        <v>363000</v>
      </c>
      <c r="AH43" s="175">
        <f t="shared" ref="AH43:AH46" si="370">LOG10(AG43)</f>
        <v>5.5599066250361124</v>
      </c>
      <c r="AI43" s="175">
        <f t="shared" ref="AI43:AI46" si="371">(AF43/AH43)+1</f>
        <v>2.0810125330368159</v>
      </c>
      <c r="AJ43" s="175">
        <f t="shared" ref="AJ43:AJ46" si="372">IF(AI43&gt;2,2,AI43)</f>
        <v>2</v>
      </c>
      <c r="AK43" s="175">
        <f t="shared" ref="AK43:AK46" si="373">LOG10((3.7*AW43)/S43)</f>
        <v>3.4291383447670887</v>
      </c>
      <c r="AL43" s="175">
        <f t="shared" ref="AL43:AL46" si="374">AF43-1</f>
        <v>5.0103287441784623</v>
      </c>
      <c r="AM43" s="175">
        <f t="shared" ref="AM43:AM46" si="375">(1.312*(2-AJ43)*AK43)/AL43</f>
        <v>0</v>
      </c>
      <c r="AN43" s="175">
        <f t="shared" ref="AN43:AN46" si="376">(0.5*((AJ43/2)+AM43))/AK43</f>
        <v>0.14580922369696944</v>
      </c>
      <c r="AO43" s="175">
        <f t="shared" ref="AO43:AO46" si="377">AN43*AN43</f>
        <v>2.1260329715112877E-2</v>
      </c>
      <c r="AP43" s="175">
        <v>105</v>
      </c>
      <c r="AQ43" s="175">
        <v>70</v>
      </c>
      <c r="AR43" s="175">
        <f t="shared" ref="AR43:AR46" si="378">AP43-AQ43</f>
        <v>35</v>
      </c>
      <c r="AS43" s="179" t="str">
        <f>LOOKUP(AP43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43" s="179">
        <v>105</v>
      </c>
      <c r="AU43" s="179">
        <v>70</v>
      </c>
      <c r="AV43" s="175">
        <f t="shared" ref="AV43:AV46" si="379">AT43-AU43</f>
        <v>35</v>
      </c>
      <c r="AW43" s="175">
        <f t="shared" ref="AW43:AW46" si="380">(K43-(M43*2))/1000</f>
        <v>0.36299999999999999</v>
      </c>
      <c r="AX43" s="179" t="str">
        <f t="shared" ref="AX43:AX46" si="381">IF(T43="изола",AO43,AD43)</f>
        <v>0,0212380489654983</v>
      </c>
      <c r="AY43" s="175">
        <f t="shared" ref="AY43:AY46" si="382">(0.00638*AX43*(I43^2))/((AW43^5)*V43)</f>
        <v>2.748435820275589</v>
      </c>
      <c r="AZ43" s="175">
        <f t="shared" ref="AZ43:AZ46" si="383">AY43*9.81</f>
        <v>26.96215539690353</v>
      </c>
      <c r="BA43" s="175">
        <f t="shared" ref="BA43:BA46" si="384">(AZ43/9.81/Y43)*1000</f>
        <v>2.867793380783811</v>
      </c>
      <c r="BB43" s="175">
        <f t="shared" ref="BB43:BB46" si="385">BA43*P43/1000</f>
        <v>0.51390857383645894</v>
      </c>
      <c r="BC43" s="175">
        <f t="shared" ref="BC43:BC46" si="386">I43/BW43</f>
        <v>357.97781339348722</v>
      </c>
      <c r="BD43" s="175">
        <f t="shared" ref="BD43:BD46" si="387">(BC43/3600)/R43</f>
        <v>0.96083949340081432</v>
      </c>
      <c r="BE43" s="175">
        <f t="shared" ref="BE43:BE46" si="388">BH43</f>
        <v>977.81</v>
      </c>
      <c r="BF43" s="175" t="str">
        <f>LOOKUP(AQ43,{5,10,15,20,25,30,40,50,60,70,80,90,100,125,150},{"0,000181656","0,000156444","0,000136428","0,000120228","0,000106908","0,000095784","0,00007848","0,000065724","0,000056088","0,000048576","0,000042648","0,00003786","0,000033948","0,0000264","0,00002196"})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43" s="183">
        <f t="shared" ref="BG43:BG46" si="389">(BF43*9.81)/BE43</f>
        <v>4.8734473977562104E-7</v>
      </c>
      <c r="BH43" s="175">
        <f t="shared" ref="BH43:BH46" si="390">BW43*1000</f>
        <v>977.81</v>
      </c>
      <c r="BI43" s="175">
        <f t="shared" ref="BI43:BI46" si="391">(BD43*AW43)/BG43</f>
        <v>715683.80170693947</v>
      </c>
      <c r="BJ43" s="175">
        <f t="shared" ref="BJ43:BJ46" si="392">0.11*(((S43/AW43)+(68/BI43))^0.25)</f>
        <v>2.1547701150512931E-2</v>
      </c>
      <c r="BK43" s="182" t="str">
        <f t="shared" ref="BK43:BK46" si="393">IF(BI43&lt;AA43,""&amp;BJ43,IF((BI43&gt;AA43),""&amp;AC43))</f>
        <v>0,0212380489654983</v>
      </c>
      <c r="BL43" s="175">
        <f t="shared" ref="BL43:BL46" si="394">(BD43*AW43)/BG43</f>
        <v>715683.80170693947</v>
      </c>
      <c r="BM43" s="175">
        <f t="shared" ref="BM43:BM46" si="395">LOG10(BL43)</f>
        <v>5.8547211878037109</v>
      </c>
      <c r="BN43" s="175">
        <f t="shared" ref="BN43:BN46" si="396">(500*AW43)/S43</f>
        <v>363000</v>
      </c>
      <c r="BO43" s="175">
        <f t="shared" ref="BO43:BO46" si="397">LOG10(BN43)</f>
        <v>5.5599066250361124</v>
      </c>
      <c r="BP43" s="175">
        <f t="shared" ref="BP43:BP46" si="398">(BM43/BO43)+1</f>
        <v>2.0530250924431099</v>
      </c>
      <c r="BQ43" s="175">
        <f t="shared" ref="BQ43:BQ46" si="399">IF(BP43&gt;2,2,BP43)</f>
        <v>2</v>
      </c>
      <c r="BR43" s="175">
        <f t="shared" ref="BR43:BR46" si="400">LOG10((3.7*AW43)/S43)</f>
        <v>3.4291383447670887</v>
      </c>
      <c r="BS43" s="175">
        <f t="shared" ref="BS43:BS46" si="401">BM43-1</f>
        <v>4.8547211878037109</v>
      </c>
      <c r="BT43" s="175">
        <f t="shared" ref="BT43:BT46" si="402">(1.312*(2-BQ43)*BR43)/BS43</f>
        <v>0</v>
      </c>
      <c r="BU43" s="175">
        <f t="shared" ref="BU43:BU46" si="403">(0.5*((BQ43/2)+BT43))/BR43</f>
        <v>0.14580922369696944</v>
      </c>
      <c r="BV43" s="175">
        <f t="shared" ref="BV43:BV46" si="404">BU43*BU43</f>
        <v>2.1260329715112877E-2</v>
      </c>
      <c r="BW43" s="175" t="str">
        <f>LOOKUP(AQ43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43" s="184" t="str">
        <f t="shared" ref="BX43:BX46" si="405">IF(T43="изола",BV43,BK43)</f>
        <v>0,0212380489654983</v>
      </c>
      <c r="BY43" s="175">
        <f t="shared" ref="BY43:BY46" si="406">(0.00638*BX43*(I43^2))/((AW43^5)*BE43)</f>
        <v>2.693821827794479</v>
      </c>
      <c r="BZ43" s="175">
        <f t="shared" ref="BZ43:BZ46" si="407">BY43*9.81</f>
        <v>26.426392130663839</v>
      </c>
      <c r="CA43" s="175">
        <f t="shared" ref="CA43:CA46" si="408">(BZ43/9.81/BH43)*1000</f>
        <v>2.7549542628879631</v>
      </c>
      <c r="CB43" s="175">
        <f t="shared" ref="CB43:CB46" si="409">CA43*P43/1000</f>
        <v>0.49368780390952294</v>
      </c>
      <c r="CC43" s="185">
        <f t="shared" ref="CC43:CC46" si="410">BB43+CB43</f>
        <v>1.007596377745982</v>
      </c>
      <c r="CD43" s="186"/>
      <c r="CE43" s="96" t="e">
        <f>CE48-BB43</f>
        <v>#REF!</v>
      </c>
      <c r="CF43" s="97" t="e">
        <f>CF48+CB43</f>
        <v>#REF!</v>
      </c>
      <c r="CG43" s="187" t="e">
        <f t="shared" ref="CG43:CG46" si="411">CE43-CF43</f>
        <v>#REF!</v>
      </c>
      <c r="CH43" s="188" t="s">
        <v>86</v>
      </c>
      <c r="CI43" s="175" t="e">
        <f t="shared" ref="CI43:CI46" si="412">CE43-CR43</f>
        <v>#REF!</v>
      </c>
      <c r="CJ43" s="175" t="s">
        <v>82</v>
      </c>
      <c r="CK43" s="185" t="str">
        <f>LOOKUP((AP43)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43" s="189" t="e">
        <f t="shared" ref="CL43:CL46" si="413">CF43-CR43</f>
        <v>#REF!</v>
      </c>
      <c r="CM43" s="96" t="s">
        <v>82</v>
      </c>
      <c r="CN43" s="175" t="str">
        <f>LOOKUP((AQ43)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43" s="97" t="s">
        <v>83</v>
      </c>
      <c r="CP43" s="96">
        <v>22</v>
      </c>
      <c r="CQ43" s="175">
        <v>22.6</v>
      </c>
      <c r="CR43" s="185">
        <f t="shared" ref="CR43:CR46" si="414">CQ43-CP43</f>
        <v>0.60000000000000142</v>
      </c>
      <c r="CS43" s="188"/>
      <c r="CT43" s="175"/>
      <c r="CU43" s="185"/>
      <c r="CV43" s="175"/>
      <c r="CW43" s="96"/>
      <c r="CX43" s="187"/>
      <c r="CY43" s="96">
        <f t="shared" ref="CY43:CY46" si="415">N43*R43*2</f>
        <v>26.493707053439998</v>
      </c>
      <c r="CZ43" s="190"/>
      <c r="DA43" s="190"/>
      <c r="DB43" s="190"/>
      <c r="DC43" s="190"/>
      <c r="DD43" s="190"/>
      <c r="DE43" s="190"/>
      <c r="DF43" s="190"/>
      <c r="DG43" s="190"/>
      <c r="DH43" s="190"/>
      <c r="DI43" s="190"/>
      <c r="DJ43" s="190"/>
      <c r="DK43" s="190"/>
      <c r="DL43" s="190"/>
      <c r="DM43" s="190"/>
      <c r="DN43" s="190"/>
      <c r="DO43" s="190"/>
      <c r="DP43" s="190"/>
      <c r="DQ43" s="190"/>
      <c r="DR43" s="190"/>
      <c r="DS43" s="190"/>
      <c r="DT43" s="190"/>
    </row>
    <row r="44" spans="1:124" s="191" customFormat="1" ht="16.5" customHeight="1" x14ac:dyDescent="0.25">
      <c r="A44" s="173" t="s">
        <v>125</v>
      </c>
      <c r="B44" s="174" t="s">
        <v>126</v>
      </c>
      <c r="C44" s="96">
        <f t="shared" si="348"/>
        <v>7.28</v>
      </c>
      <c r="D44" s="96">
        <f t="shared" si="348"/>
        <v>1.7300000000000002</v>
      </c>
      <c r="E44" s="175">
        <f t="shared" si="349"/>
        <v>0.36040000000000005</v>
      </c>
      <c r="F44" s="175">
        <f t="shared" si="350"/>
        <v>7.5712000000000002</v>
      </c>
      <c r="G44" s="175">
        <f t="shared" si="350"/>
        <v>1.7992000000000004</v>
      </c>
      <c r="H44" s="175">
        <f t="shared" si="351"/>
        <v>9.3704000000000001</v>
      </c>
      <c r="I44" s="175">
        <f t="shared" si="352"/>
        <v>267.72571428571428</v>
      </c>
      <c r="J44" s="176">
        <f t="shared" si="353"/>
        <v>279.35235948758765</v>
      </c>
      <c r="K44" s="177">
        <v>273</v>
      </c>
      <c r="L44" s="175" t="s">
        <v>11</v>
      </c>
      <c r="M44" s="97">
        <v>6</v>
      </c>
      <c r="N44" s="178">
        <v>113</v>
      </c>
      <c r="O44" s="175" t="str">
        <f t="shared" si="354"/>
        <v>0,4</v>
      </c>
      <c r="P44" s="175">
        <f t="shared" si="355"/>
        <v>158.19999999999999</v>
      </c>
      <c r="Q44" s="175">
        <f t="shared" si="356"/>
        <v>1.4503716892941079</v>
      </c>
      <c r="R44" s="175">
        <f t="shared" si="357"/>
        <v>5.3502063097499997E-2</v>
      </c>
      <c r="S44" s="175" t="str">
        <f t="shared" si="358"/>
        <v>0,0005</v>
      </c>
      <c r="T44" s="175" t="s">
        <v>79</v>
      </c>
      <c r="U44" s="175" t="s">
        <v>80</v>
      </c>
      <c r="V44" s="175">
        <f t="shared" si="359"/>
        <v>958.38</v>
      </c>
      <c r="W44" s="179" t="str">
        <f>LOOKUP(AP44,{5,10,15,20,25,30,40,50,60,70,80,90,100,125,150},{"0,000181656","0,000156444","0,000136428","0,000120228","0,000106908","0,000095784","0,00007848","0,000065724","0,000056088","0,000048576","0,000042648","0,00003786","0,000033948","0,0000264","0,00002196"})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44" s="180">
        <f t="shared" si="360"/>
        <v>3.4749251862518006E-7</v>
      </c>
      <c r="Y44" s="175">
        <f t="shared" si="361"/>
        <v>958.38</v>
      </c>
      <c r="Z44" s="181">
        <f t="shared" si="362"/>
        <v>1089367.3694140124</v>
      </c>
      <c r="AA44" s="181">
        <f t="shared" si="363"/>
        <v>292320</v>
      </c>
      <c r="AB44" s="175">
        <f t="shared" si="364"/>
        <v>2.3198313460486168E-2</v>
      </c>
      <c r="AC44" s="175">
        <f t="shared" si="365"/>
        <v>2.3129350547369202E-2</v>
      </c>
      <c r="AD44" s="182" t="str">
        <f t="shared" si="366"/>
        <v>0,0231293505473692</v>
      </c>
      <c r="AE44" s="175">
        <f t="shared" si="367"/>
        <v>1089367.3694140124</v>
      </c>
      <c r="AF44" s="175">
        <f t="shared" si="368"/>
        <v>6.037174362404274</v>
      </c>
      <c r="AG44" s="175">
        <f t="shared" si="369"/>
        <v>261000</v>
      </c>
      <c r="AH44" s="175">
        <f t="shared" si="370"/>
        <v>5.4166405073382808</v>
      </c>
      <c r="AI44" s="175">
        <f t="shared" si="371"/>
        <v>2.1145606495807345</v>
      </c>
      <c r="AJ44" s="175">
        <f t="shared" si="372"/>
        <v>2</v>
      </c>
      <c r="AK44" s="175">
        <f t="shared" si="373"/>
        <v>3.2858722270692571</v>
      </c>
      <c r="AL44" s="175">
        <f t="shared" si="374"/>
        <v>5.037174362404274</v>
      </c>
      <c r="AM44" s="175">
        <f t="shared" si="375"/>
        <v>0</v>
      </c>
      <c r="AN44" s="175">
        <f t="shared" si="376"/>
        <v>0.15216659853081421</v>
      </c>
      <c r="AO44" s="175">
        <f t="shared" si="377"/>
        <v>2.3154673708437989E-2</v>
      </c>
      <c r="AP44" s="175">
        <v>105</v>
      </c>
      <c r="AQ44" s="175">
        <v>70</v>
      </c>
      <c r="AR44" s="175">
        <f t="shared" si="378"/>
        <v>35</v>
      </c>
      <c r="AS44" s="179" t="str">
        <f>LOOKUP(AP44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44" s="179">
        <v>105</v>
      </c>
      <c r="AU44" s="179">
        <v>70</v>
      </c>
      <c r="AV44" s="175">
        <f t="shared" si="379"/>
        <v>35</v>
      </c>
      <c r="AW44" s="175">
        <f t="shared" si="380"/>
        <v>0.26100000000000001</v>
      </c>
      <c r="AX44" s="179" t="str">
        <f t="shared" si="381"/>
        <v>0,0231293505473692</v>
      </c>
      <c r="AY44" s="175">
        <f t="shared" si="382"/>
        <v>9.112216089354078</v>
      </c>
      <c r="AZ44" s="175">
        <f t="shared" si="383"/>
        <v>89.390839836563515</v>
      </c>
      <c r="BA44" s="175">
        <f t="shared" si="384"/>
        <v>9.5079364024229189</v>
      </c>
      <c r="BB44" s="175">
        <f t="shared" si="385"/>
        <v>1.5041555388633057</v>
      </c>
      <c r="BC44" s="175">
        <f t="shared" si="386"/>
        <v>273.80136661080815</v>
      </c>
      <c r="BD44" s="175">
        <f t="shared" si="387"/>
        <v>1.4215514461763401</v>
      </c>
      <c r="BE44" s="175">
        <f t="shared" si="388"/>
        <v>977.81</v>
      </c>
      <c r="BF44" s="175" t="str">
        <f>LOOKUP(AQ44,{5,10,15,20,25,30,40,50,60,70,80,90,100,125,150},{"0,000181656","0,000156444","0,000136428","0,000120228","0,000106908","0,000095784","0,00007848","0,000065724","0,000056088","0,000048576","0,000042648","0,00003786","0,000033948","0,0000264","0,00002196"})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44" s="183">
        <f t="shared" si="389"/>
        <v>4.8734473977562104E-7</v>
      </c>
      <c r="BH44" s="175">
        <f t="shared" si="390"/>
        <v>977.81</v>
      </c>
      <c r="BI44" s="175">
        <f t="shared" si="391"/>
        <v>761319.24112456571</v>
      </c>
      <c r="BJ44" s="175">
        <f t="shared" si="392"/>
        <v>2.3276772718325577E-2</v>
      </c>
      <c r="BK44" s="182" t="str">
        <f t="shared" si="393"/>
        <v>0,0231293505473692</v>
      </c>
      <c r="BL44" s="175">
        <f t="shared" si="394"/>
        <v>761319.24112456571</v>
      </c>
      <c r="BM44" s="175">
        <f t="shared" si="395"/>
        <v>5.8815668060295225</v>
      </c>
      <c r="BN44" s="175">
        <f t="shared" si="396"/>
        <v>261000</v>
      </c>
      <c r="BO44" s="175">
        <f t="shared" si="397"/>
        <v>5.4166405073382808</v>
      </c>
      <c r="BP44" s="175">
        <f t="shared" si="398"/>
        <v>2.0858329619736393</v>
      </c>
      <c r="BQ44" s="175">
        <f t="shared" si="399"/>
        <v>2</v>
      </c>
      <c r="BR44" s="175">
        <f t="shared" si="400"/>
        <v>3.2858722270692571</v>
      </c>
      <c r="BS44" s="175">
        <f t="shared" si="401"/>
        <v>4.8815668060295225</v>
      </c>
      <c r="BT44" s="175">
        <f t="shared" si="402"/>
        <v>0</v>
      </c>
      <c r="BU44" s="175">
        <f t="shared" si="403"/>
        <v>0.15216659853081421</v>
      </c>
      <c r="BV44" s="175">
        <f t="shared" si="404"/>
        <v>2.3154673708437989E-2</v>
      </c>
      <c r="BW44" s="175" t="str">
        <f>LOOKUP(AQ44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44" s="184" t="str">
        <f t="shared" si="405"/>
        <v>0,0231293505473692</v>
      </c>
      <c r="BY44" s="175">
        <f t="shared" si="406"/>
        <v>8.9311478259735146</v>
      </c>
      <c r="BZ44" s="175">
        <f t="shared" si="407"/>
        <v>87.614560172800182</v>
      </c>
      <c r="CA44" s="175">
        <f t="shared" si="408"/>
        <v>9.1338274572498896</v>
      </c>
      <c r="CB44" s="175">
        <f t="shared" si="409"/>
        <v>1.4449715037369324</v>
      </c>
      <c r="CC44" s="185">
        <f t="shared" si="410"/>
        <v>2.9491270426002378</v>
      </c>
      <c r="CD44" s="186"/>
      <c r="CE44" s="96" t="e">
        <f>CE52-BB44</f>
        <v>#REF!</v>
      </c>
      <c r="CF44" s="97" t="e">
        <f>CF52+CB44</f>
        <v>#REF!</v>
      </c>
      <c r="CG44" s="187" t="e">
        <f t="shared" si="411"/>
        <v>#REF!</v>
      </c>
      <c r="CH44" s="188" t="s">
        <v>86</v>
      </c>
      <c r="CI44" s="175" t="e">
        <f t="shared" si="412"/>
        <v>#REF!</v>
      </c>
      <c r="CJ44" s="175" t="s">
        <v>82</v>
      </c>
      <c r="CK44" s="185" t="str">
        <f>LOOKUP((AP44)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44" s="189" t="e">
        <f t="shared" si="413"/>
        <v>#REF!</v>
      </c>
      <c r="CM44" s="96" t="s">
        <v>82</v>
      </c>
      <c r="CN44" s="175" t="str">
        <f>LOOKUP((AQ44)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44" s="97" t="s">
        <v>83</v>
      </c>
      <c r="CP44" s="96">
        <v>22</v>
      </c>
      <c r="CQ44" s="175">
        <v>22.6</v>
      </c>
      <c r="CR44" s="185">
        <f t="shared" si="414"/>
        <v>0.60000000000000142</v>
      </c>
      <c r="CS44" s="188"/>
      <c r="CT44" s="175"/>
      <c r="CU44" s="185"/>
      <c r="CV44" s="175"/>
      <c r="CW44" s="96"/>
      <c r="CX44" s="187"/>
      <c r="CY44" s="96">
        <f t="shared" si="415"/>
        <v>12.091466260034998</v>
      </c>
      <c r="CZ44" s="190"/>
      <c r="DA44" s="190"/>
      <c r="DB44" s="190"/>
      <c r="DC44" s="190"/>
      <c r="DD44" s="190"/>
      <c r="DE44" s="190"/>
      <c r="DF44" s="190"/>
      <c r="DG44" s="190"/>
      <c r="DH44" s="190"/>
      <c r="DI44" s="190"/>
      <c r="DJ44" s="190"/>
      <c r="DK44" s="190"/>
      <c r="DL44" s="190"/>
      <c r="DM44" s="190"/>
      <c r="DN44" s="190"/>
      <c r="DO44" s="190"/>
      <c r="DP44" s="190"/>
      <c r="DQ44" s="190"/>
      <c r="DR44" s="190"/>
      <c r="DS44" s="190"/>
      <c r="DT44" s="190"/>
    </row>
    <row r="45" spans="1:124" s="101" customFormat="1" ht="16.5" customHeight="1" x14ac:dyDescent="0.25">
      <c r="A45" s="80" t="s">
        <v>126</v>
      </c>
      <c r="B45" s="81" t="s">
        <v>127</v>
      </c>
      <c r="C45" s="82">
        <f t="shared" si="348"/>
        <v>6.74</v>
      </c>
      <c r="D45" s="82">
        <f t="shared" si="348"/>
        <v>1.4900000000000002</v>
      </c>
      <c r="E45" s="83">
        <f t="shared" si="349"/>
        <v>0.3292000000000006</v>
      </c>
      <c r="F45" s="83">
        <f t="shared" si="350"/>
        <v>7.0096000000000007</v>
      </c>
      <c r="G45" s="83">
        <f t="shared" si="350"/>
        <v>1.5496000000000003</v>
      </c>
      <c r="H45" s="83">
        <f t="shared" si="351"/>
        <v>8.5592000000000006</v>
      </c>
      <c r="I45" s="83">
        <f t="shared" si="352"/>
        <v>244.54857142857145</v>
      </c>
      <c r="J45" s="84">
        <f t="shared" si="353"/>
        <v>255.16869240653128</v>
      </c>
      <c r="K45" s="85">
        <v>273</v>
      </c>
      <c r="L45" s="83" t="s">
        <v>11</v>
      </c>
      <c r="M45" s="86">
        <v>6</v>
      </c>
      <c r="N45" s="87">
        <v>90</v>
      </c>
      <c r="O45" s="83" t="str">
        <f t="shared" si="354"/>
        <v>0,4</v>
      </c>
      <c r="P45" s="83">
        <f t="shared" si="355"/>
        <v>125.99999999999999</v>
      </c>
      <c r="Q45" s="83">
        <f t="shared" si="356"/>
        <v>1.3248123199656503</v>
      </c>
      <c r="R45" s="83">
        <f t="shared" si="357"/>
        <v>5.3502063097499997E-2</v>
      </c>
      <c r="S45" s="83" t="str">
        <f t="shared" si="358"/>
        <v>0,0005</v>
      </c>
      <c r="T45" s="83" t="s">
        <v>79</v>
      </c>
      <c r="U45" s="83" t="s">
        <v>80</v>
      </c>
      <c r="V45" s="83">
        <f t="shared" si="359"/>
        <v>958.38</v>
      </c>
      <c r="W45" s="88" t="str">
        <f>LOOKUP(AP45,{5,10,15,20,25,30,40,50,60,70,80,90,100,125,150},{"0,000181656","0,000156444","0,000136428","0,000120228","0,000106908","0,000095784","0,00007848","0,000065724","0,000056088","0,000048576","0,000042648","0,00003786","0,000033948","0,0000264","0,00002196"})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45" s="89">
        <f t="shared" si="360"/>
        <v>3.4749251862518006E-7</v>
      </c>
      <c r="Y45" s="83">
        <f t="shared" si="361"/>
        <v>958.38</v>
      </c>
      <c r="Z45" s="90">
        <f t="shared" si="362"/>
        <v>995060.31634598505</v>
      </c>
      <c r="AA45" s="90">
        <f t="shared" si="363"/>
        <v>292320</v>
      </c>
      <c r="AB45" s="83">
        <f t="shared" si="364"/>
        <v>2.3215638903045826E-2</v>
      </c>
      <c r="AC45" s="83">
        <f t="shared" si="365"/>
        <v>2.3129350547369202E-2</v>
      </c>
      <c r="AD45" s="91" t="str">
        <f t="shared" si="366"/>
        <v>0,0231293505473692</v>
      </c>
      <c r="AE45" s="83">
        <f t="shared" si="367"/>
        <v>995060.31634598505</v>
      </c>
      <c r="AF45" s="83">
        <f t="shared" si="368"/>
        <v>5.9978494066374815</v>
      </c>
      <c r="AG45" s="83">
        <f t="shared" si="369"/>
        <v>261000</v>
      </c>
      <c r="AH45" s="83">
        <f t="shared" si="370"/>
        <v>5.4166405073382808</v>
      </c>
      <c r="AI45" s="83">
        <f t="shared" si="371"/>
        <v>2.1073006226851865</v>
      </c>
      <c r="AJ45" s="83">
        <f t="shared" si="372"/>
        <v>2</v>
      </c>
      <c r="AK45" s="83">
        <f t="shared" si="373"/>
        <v>3.2858722270692571</v>
      </c>
      <c r="AL45" s="83">
        <f t="shared" si="374"/>
        <v>4.9978494066374815</v>
      </c>
      <c r="AM45" s="83">
        <f t="shared" si="375"/>
        <v>0</v>
      </c>
      <c r="AN45" s="83">
        <f t="shared" si="376"/>
        <v>0.15216659853081421</v>
      </c>
      <c r="AO45" s="83">
        <f t="shared" si="377"/>
        <v>2.3154673708437989E-2</v>
      </c>
      <c r="AP45" s="83">
        <v>105</v>
      </c>
      <c r="AQ45" s="83">
        <v>70</v>
      </c>
      <c r="AR45" s="83">
        <f t="shared" si="378"/>
        <v>35</v>
      </c>
      <c r="AS45" s="83" t="str">
        <f>LOOKUP(AP45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45" s="88">
        <v>105</v>
      </c>
      <c r="AU45" s="88">
        <v>70</v>
      </c>
      <c r="AV45" s="83">
        <f t="shared" si="379"/>
        <v>35</v>
      </c>
      <c r="AW45" s="83">
        <f t="shared" si="380"/>
        <v>0.26100000000000001</v>
      </c>
      <c r="AX45" s="88" t="str">
        <f t="shared" si="381"/>
        <v>0,0231293505473692</v>
      </c>
      <c r="AY45" s="83">
        <f t="shared" si="382"/>
        <v>7.6028093234500949</v>
      </c>
      <c r="AZ45" s="83">
        <f t="shared" si="383"/>
        <v>74.583559463045432</v>
      </c>
      <c r="BA45" s="83">
        <f t="shared" si="384"/>
        <v>7.9329799489243262</v>
      </c>
      <c r="BB45" s="83">
        <f t="shared" si="385"/>
        <v>0.99955547356446506</v>
      </c>
      <c r="BC45" s="83">
        <f t="shared" si="386"/>
        <v>250.09825163229203</v>
      </c>
      <c r="BD45" s="83">
        <f t="shared" si="387"/>
        <v>1.298487059048977</v>
      </c>
      <c r="BE45" s="83">
        <f t="shared" si="388"/>
        <v>977.81</v>
      </c>
      <c r="BF45" s="83" t="str">
        <f>LOOKUP(AQ45,{5,10,15,20,25,30,40,50,60,70,80,90,100,125,150},{"0,000181656","0,000156444","0,000136428","0,000120228","0,000106908","0,000095784","0,00007848","0,000065724","0,000056088","0,000048576","0,000042648","0,00003786","0,000033948","0,0000264","0,00002196"})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45" s="92">
        <f t="shared" si="389"/>
        <v>4.8734473977562104E-7</v>
      </c>
      <c r="BH45" s="83">
        <f t="shared" si="390"/>
        <v>977.81</v>
      </c>
      <c r="BI45" s="83">
        <f t="shared" si="391"/>
        <v>695411.47108270566</v>
      </c>
      <c r="BJ45" s="83">
        <f t="shared" si="392"/>
        <v>2.3301302454521094E-2</v>
      </c>
      <c r="BK45" s="91" t="str">
        <f t="shared" si="393"/>
        <v>0,0231293505473692</v>
      </c>
      <c r="BL45" s="83">
        <f t="shared" si="394"/>
        <v>695411.47108270566</v>
      </c>
      <c r="BM45" s="83">
        <f t="shared" si="395"/>
        <v>5.8422418502627291</v>
      </c>
      <c r="BN45" s="83">
        <f t="shared" si="396"/>
        <v>261000</v>
      </c>
      <c r="BO45" s="83">
        <f t="shared" si="397"/>
        <v>5.4166405073382808</v>
      </c>
      <c r="BP45" s="83">
        <f t="shared" si="398"/>
        <v>2.0785729350780908</v>
      </c>
      <c r="BQ45" s="83">
        <f t="shared" si="399"/>
        <v>2</v>
      </c>
      <c r="BR45" s="83">
        <f t="shared" si="400"/>
        <v>3.2858722270692571</v>
      </c>
      <c r="BS45" s="83">
        <f t="shared" si="401"/>
        <v>4.8422418502627291</v>
      </c>
      <c r="BT45" s="83">
        <f t="shared" si="402"/>
        <v>0</v>
      </c>
      <c r="BU45" s="83">
        <f t="shared" si="403"/>
        <v>0.15216659853081421</v>
      </c>
      <c r="BV45" s="83">
        <f t="shared" si="404"/>
        <v>2.3154673708437989E-2</v>
      </c>
      <c r="BW45" s="83" t="str">
        <f>LOOKUP(AQ45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45" s="93" t="str">
        <f t="shared" si="405"/>
        <v>0,0231293505473692</v>
      </c>
      <c r="BY45" s="83">
        <f t="shared" si="406"/>
        <v>7.4517343854205844</v>
      </c>
      <c r="BZ45" s="83">
        <f t="shared" si="407"/>
        <v>73.101514320975937</v>
      </c>
      <c r="CA45" s="83">
        <f t="shared" si="408"/>
        <v>7.6208408437432471</v>
      </c>
      <c r="CB45" s="83">
        <f t="shared" si="409"/>
        <v>0.96022594631164904</v>
      </c>
      <c r="CC45" s="94">
        <f t="shared" si="410"/>
        <v>1.9597814198761141</v>
      </c>
      <c r="CD45" s="95"/>
      <c r="CE45" s="82" t="e">
        <f>CE51-BB45</f>
        <v>#REF!</v>
      </c>
      <c r="CF45" s="86" t="e">
        <f>CF51+CB45</f>
        <v>#REF!</v>
      </c>
      <c r="CG45" s="98" t="e">
        <f t="shared" si="411"/>
        <v>#REF!</v>
      </c>
      <c r="CH45" s="99" t="s">
        <v>86</v>
      </c>
      <c r="CI45" s="83" t="e">
        <f t="shared" si="412"/>
        <v>#REF!</v>
      </c>
      <c r="CJ45" s="83" t="s">
        <v>82</v>
      </c>
      <c r="CK45" s="94" t="str">
        <f>LOOKUP((AP45)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45" s="100" t="e">
        <f t="shared" si="413"/>
        <v>#REF!</v>
      </c>
      <c r="CM45" s="82" t="s">
        <v>82</v>
      </c>
      <c r="CN45" s="83" t="str">
        <f>LOOKUP((AQ45)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45" s="86" t="s">
        <v>83</v>
      </c>
      <c r="CP45" s="82">
        <v>22</v>
      </c>
      <c r="CQ45" s="83">
        <v>22.6</v>
      </c>
      <c r="CR45" s="94">
        <f t="shared" si="414"/>
        <v>0.60000000000000142</v>
      </c>
      <c r="CS45" s="99"/>
      <c r="CT45" s="83"/>
      <c r="CU45" s="94"/>
      <c r="CV45" s="83"/>
      <c r="CW45" s="82"/>
      <c r="CX45" s="98"/>
      <c r="CY45" s="82">
        <f t="shared" si="415"/>
        <v>9.6303713575499987</v>
      </c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2"/>
      <c r="DO45" s="102"/>
      <c r="DP45" s="102"/>
      <c r="DQ45" s="102"/>
      <c r="DR45" s="102"/>
      <c r="DS45" s="102"/>
      <c r="DT45" s="102"/>
    </row>
    <row r="46" spans="1:124" s="101" customFormat="1" ht="16.5" customHeight="1" x14ac:dyDescent="0.25">
      <c r="A46" s="80" t="s">
        <v>127</v>
      </c>
      <c r="B46" s="81" t="s">
        <v>128</v>
      </c>
      <c r="C46" s="82">
        <f>C51+C52</f>
        <v>4.3</v>
      </c>
      <c r="D46" s="82">
        <f>D51+D52</f>
        <v>0.94000000000000017</v>
      </c>
      <c r="E46" s="83">
        <f t="shared" si="349"/>
        <v>0.20959999999999979</v>
      </c>
      <c r="F46" s="83">
        <f t="shared" si="350"/>
        <v>4.4719999999999995</v>
      </c>
      <c r="G46" s="83">
        <f t="shared" si="350"/>
        <v>0.97760000000000025</v>
      </c>
      <c r="H46" s="83">
        <f t="shared" si="351"/>
        <v>5.4496000000000002</v>
      </c>
      <c r="I46" s="83">
        <f t="shared" si="352"/>
        <v>155.70285714285714</v>
      </c>
      <c r="J46" s="84">
        <f t="shared" si="353"/>
        <v>162.46463526248164</v>
      </c>
      <c r="K46" s="85">
        <v>273</v>
      </c>
      <c r="L46" s="83" t="s">
        <v>11</v>
      </c>
      <c r="M46" s="86">
        <v>6</v>
      </c>
      <c r="N46" s="87">
        <v>123</v>
      </c>
      <c r="O46" s="83" t="str">
        <f t="shared" si="354"/>
        <v>0,4</v>
      </c>
      <c r="P46" s="83">
        <f t="shared" si="355"/>
        <v>172.2</v>
      </c>
      <c r="Q46" s="83">
        <f t="shared" si="356"/>
        <v>0.84350140420656228</v>
      </c>
      <c r="R46" s="83">
        <f t="shared" si="357"/>
        <v>5.3502063097499997E-2</v>
      </c>
      <c r="S46" s="83" t="str">
        <f t="shared" si="358"/>
        <v>0,0005</v>
      </c>
      <c r="T46" s="83" t="s">
        <v>79</v>
      </c>
      <c r="U46" s="83" t="s">
        <v>80</v>
      </c>
      <c r="V46" s="83">
        <f t="shared" si="359"/>
        <v>958.38</v>
      </c>
      <c r="W46" s="88" t="str">
        <f>LOOKUP(AP46,{5,10,15,20,25,30,40,50,60,70,80,90,100,125,150},{"0,000181656","0,000156444","0,000136428","0,000120228","0,000106908","0,000095784","0,00007848","0,000065724","0,000056088","0,000048576","0,000042648","0,00003786","0,000033948","0,0000264","0,00002196"})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46" s="89">
        <f t="shared" si="360"/>
        <v>3.4749251862518006E-7</v>
      </c>
      <c r="Y46" s="83">
        <f t="shared" si="361"/>
        <v>958.38</v>
      </c>
      <c r="Z46" s="90">
        <f t="shared" si="362"/>
        <v>633549.94625187863</v>
      </c>
      <c r="AA46" s="90">
        <f t="shared" si="363"/>
        <v>292320</v>
      </c>
      <c r="AB46" s="83">
        <f t="shared" si="364"/>
        <v>2.3328876859690297E-2</v>
      </c>
      <c r="AC46" s="83">
        <f t="shared" si="365"/>
        <v>2.3129350547369202E-2</v>
      </c>
      <c r="AD46" s="91" t="str">
        <f t="shared" si="366"/>
        <v>0,0231293505473692</v>
      </c>
      <c r="AE46" s="83">
        <f t="shared" si="367"/>
        <v>633549.94625187863</v>
      </c>
      <c r="AF46" s="83">
        <f t="shared" si="368"/>
        <v>5.8017808584089385</v>
      </c>
      <c r="AG46" s="83">
        <f t="shared" si="369"/>
        <v>261000</v>
      </c>
      <c r="AH46" s="83">
        <f t="shared" si="370"/>
        <v>5.4166405073382808</v>
      </c>
      <c r="AI46" s="83">
        <f t="shared" si="371"/>
        <v>2.071103177430528</v>
      </c>
      <c r="AJ46" s="83">
        <f t="shared" si="372"/>
        <v>2</v>
      </c>
      <c r="AK46" s="83">
        <f t="shared" si="373"/>
        <v>3.2858722270692571</v>
      </c>
      <c r="AL46" s="83">
        <f t="shared" si="374"/>
        <v>4.8017808584089385</v>
      </c>
      <c r="AM46" s="83">
        <f t="shared" si="375"/>
        <v>0</v>
      </c>
      <c r="AN46" s="83">
        <f t="shared" si="376"/>
        <v>0.15216659853081421</v>
      </c>
      <c r="AO46" s="83">
        <f t="shared" si="377"/>
        <v>2.3154673708437989E-2</v>
      </c>
      <c r="AP46" s="83">
        <v>105</v>
      </c>
      <c r="AQ46" s="83">
        <v>70</v>
      </c>
      <c r="AR46" s="83">
        <f t="shared" si="378"/>
        <v>35</v>
      </c>
      <c r="AS46" s="83" t="str">
        <f>LOOKUP(AP46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46" s="88">
        <v>105</v>
      </c>
      <c r="AU46" s="88">
        <v>70</v>
      </c>
      <c r="AV46" s="83">
        <f t="shared" si="379"/>
        <v>35</v>
      </c>
      <c r="AW46" s="83">
        <f t="shared" si="380"/>
        <v>0.26100000000000001</v>
      </c>
      <c r="AX46" s="88" t="str">
        <f t="shared" si="381"/>
        <v>0,0231293505473692</v>
      </c>
      <c r="AY46" s="83">
        <f t="shared" si="382"/>
        <v>3.0820309964516985</v>
      </c>
      <c r="AZ46" s="83">
        <f t="shared" si="383"/>
        <v>30.234724075191163</v>
      </c>
      <c r="BA46" s="83">
        <f t="shared" si="384"/>
        <v>3.2158757449568007</v>
      </c>
      <c r="BB46" s="83">
        <f t="shared" si="385"/>
        <v>0.55377380328156112</v>
      </c>
      <c r="BC46" s="83">
        <f t="shared" si="386"/>
        <v>159.2363108813135</v>
      </c>
      <c r="BD46" s="83">
        <f t="shared" si="387"/>
        <v>0.82674024172741645</v>
      </c>
      <c r="BE46" s="83">
        <f t="shared" si="388"/>
        <v>977.81</v>
      </c>
      <c r="BF46" s="83" t="str">
        <f>LOOKUP(AQ46,{5,10,15,20,25,30,40,50,60,70,80,90,100,125,150},{"0,000181656","0,000156444","0,000136428","0,000120228","0,000106908","0,000095784","0,00007848","0,000065724","0,000056088","0,000048576","0,000042648","0,00003786","0,000033948","0,0000264","0,00002196"})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46" s="92">
        <f t="shared" si="389"/>
        <v>4.8734473977562104E-7</v>
      </c>
      <c r="BH46" s="83">
        <f t="shared" si="390"/>
        <v>977.81</v>
      </c>
      <c r="BI46" s="83">
        <f t="shared" si="391"/>
        <v>442765.01925557433</v>
      </c>
      <c r="BJ46" s="83">
        <f t="shared" si="392"/>
        <v>2.3461078906122198E-2</v>
      </c>
      <c r="BK46" s="91" t="str">
        <f t="shared" si="393"/>
        <v>0,0231293505473692</v>
      </c>
      <c r="BL46" s="83">
        <f t="shared" si="394"/>
        <v>442765.01925557433</v>
      </c>
      <c r="BM46" s="83">
        <f t="shared" si="395"/>
        <v>5.6461733020341862</v>
      </c>
      <c r="BN46" s="83">
        <f t="shared" si="396"/>
        <v>261000</v>
      </c>
      <c r="BO46" s="83">
        <f t="shared" si="397"/>
        <v>5.4166405073382808</v>
      </c>
      <c r="BP46" s="83">
        <f t="shared" si="398"/>
        <v>2.0423754898234323</v>
      </c>
      <c r="BQ46" s="83">
        <f t="shared" si="399"/>
        <v>2</v>
      </c>
      <c r="BR46" s="83">
        <f t="shared" si="400"/>
        <v>3.2858722270692571</v>
      </c>
      <c r="BS46" s="83">
        <f t="shared" si="401"/>
        <v>4.6461733020341862</v>
      </c>
      <c r="BT46" s="83">
        <f t="shared" si="402"/>
        <v>0</v>
      </c>
      <c r="BU46" s="83">
        <f t="shared" si="403"/>
        <v>0.15216659853081421</v>
      </c>
      <c r="BV46" s="83">
        <f t="shared" si="404"/>
        <v>2.3154673708437989E-2</v>
      </c>
      <c r="BW46" s="83" t="str">
        <f>LOOKUP(AQ46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46" s="93" t="str">
        <f t="shared" si="405"/>
        <v>0,0231293505473692</v>
      </c>
      <c r="BY46" s="83">
        <f t="shared" si="406"/>
        <v>3.020788155551057</v>
      </c>
      <c r="BZ46" s="83">
        <f t="shared" si="407"/>
        <v>29.633931805955871</v>
      </c>
      <c r="CA46" s="83">
        <f t="shared" si="408"/>
        <v>3.0893406239975629</v>
      </c>
      <c r="CB46" s="83">
        <f t="shared" si="409"/>
        <v>0.53198445545238027</v>
      </c>
      <c r="CC46" s="94">
        <f t="shared" si="410"/>
        <v>1.0857582587339414</v>
      </c>
      <c r="CD46" s="95"/>
      <c r="CE46" s="82" t="e">
        <f>CE52-BB46</f>
        <v>#REF!</v>
      </c>
      <c r="CF46" s="86" t="e">
        <f>CF52+CB46</f>
        <v>#REF!</v>
      </c>
      <c r="CG46" s="98" t="e">
        <f t="shared" si="411"/>
        <v>#REF!</v>
      </c>
      <c r="CH46" s="99" t="s">
        <v>86</v>
      </c>
      <c r="CI46" s="83" t="e">
        <f t="shared" si="412"/>
        <v>#REF!</v>
      </c>
      <c r="CJ46" s="83" t="s">
        <v>82</v>
      </c>
      <c r="CK46" s="94" t="str">
        <f>LOOKUP((AP46)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46" s="100" t="e">
        <f t="shared" si="413"/>
        <v>#REF!</v>
      </c>
      <c r="CM46" s="82" t="s">
        <v>82</v>
      </c>
      <c r="CN46" s="83" t="str">
        <f>LOOKUP((AQ46)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46" s="86" t="s">
        <v>83</v>
      </c>
      <c r="CP46" s="82">
        <v>22</v>
      </c>
      <c r="CQ46" s="83">
        <v>22.6</v>
      </c>
      <c r="CR46" s="94">
        <f t="shared" si="414"/>
        <v>0.60000000000000142</v>
      </c>
      <c r="CS46" s="99"/>
      <c r="CT46" s="83"/>
      <c r="CU46" s="94"/>
      <c r="CV46" s="83"/>
      <c r="CW46" s="82"/>
      <c r="CX46" s="98"/>
      <c r="CY46" s="82">
        <f t="shared" si="415"/>
        <v>13.161507521985</v>
      </c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2"/>
      <c r="DQ46" s="102"/>
      <c r="DR46" s="102"/>
      <c r="DS46" s="102"/>
      <c r="DT46" s="102"/>
    </row>
    <row r="47" spans="1:124" s="144" customFormat="1" ht="16.5" customHeight="1" x14ac:dyDescent="0.25">
      <c r="A47" s="124" t="s">
        <v>97</v>
      </c>
      <c r="B47" s="125" t="s">
        <v>129</v>
      </c>
      <c r="C47" s="126">
        <v>1.36</v>
      </c>
      <c r="D47" s="126">
        <v>0.16</v>
      </c>
      <c r="E47" s="127">
        <f>(F47-C47)+(G47-D47)</f>
        <v>6.0800000000000021E-2</v>
      </c>
      <c r="F47" s="127">
        <f t="shared" si="350"/>
        <v>1.4144000000000001</v>
      </c>
      <c r="G47" s="127">
        <f t="shared" si="350"/>
        <v>0.16640000000000002</v>
      </c>
      <c r="H47" s="127">
        <f>F47+G47</f>
        <v>1.5808000000000002</v>
      </c>
      <c r="I47" s="127">
        <f>((F47/(AP47-AQ47))+(G47/(AT47-AU47)))*1000</f>
        <v>45.165714285714294</v>
      </c>
      <c r="J47" s="128">
        <f>I47/AS47</f>
        <v>47.127146106674068</v>
      </c>
      <c r="K47" s="129">
        <v>159</v>
      </c>
      <c r="L47" s="127" t="s">
        <v>11</v>
      </c>
      <c r="M47" s="130">
        <v>4.5</v>
      </c>
      <c r="N47" s="131">
        <v>63</v>
      </c>
      <c r="O47" s="127" t="str">
        <f>IF(K47&lt;159,"0,3",IF((K47&gt;159),"0,4","0,3"))</f>
        <v>0,3</v>
      </c>
      <c r="P47" s="127">
        <f>N47*(1+O47)</f>
        <v>81.900000000000006</v>
      </c>
      <c r="Q47" s="127">
        <f>(J47/3600)/R47</f>
        <v>0.74079255230748065</v>
      </c>
      <c r="R47" s="127">
        <f>(3.14159*AW47^2)/4</f>
        <v>1.7671443749999998E-2</v>
      </c>
      <c r="S47" s="127" t="str">
        <f>IF(T47="сталь","0,0005",IF((T47="изола"),"0,000007"))</f>
        <v>0,0005</v>
      </c>
      <c r="T47" s="127" t="s">
        <v>79</v>
      </c>
      <c r="U47" s="127" t="s">
        <v>80</v>
      </c>
      <c r="V47" s="127">
        <f>Y47</f>
        <v>958.38</v>
      </c>
      <c r="W47" s="132" t="str">
        <f>LOOKUP(AP47,{5,10,15,20,25,30,40,50,60,70,80,90,100,125,150},{"0,000181656","0,000156444","0,000136428","0,000120228","0,000106908","0,000095784","0,00007848","0,000065724","0,000056088","0,000048576","0,000042648","0,00003786","0,000033948","0,0000264","0,00002196"})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47" s="133">
        <f>(W47*9.81)/V47</f>
        <v>3.4749251862518006E-7</v>
      </c>
      <c r="Y47" s="127">
        <f>AS47*1000</f>
        <v>958.38</v>
      </c>
      <c r="Z47" s="134">
        <f>(Q47*AW47)/X47</f>
        <v>319773.45378758945</v>
      </c>
      <c r="AA47" s="134">
        <f>560*AW47/S47</f>
        <v>168000</v>
      </c>
      <c r="AB47" s="127">
        <f>0.11*(((S47/AW47)+(68/Z47))^0.25)</f>
        <v>2.6842741830347371E-2</v>
      </c>
      <c r="AC47" s="127">
        <f>1/(1.14+2*LOG(AW47/S47))^2</f>
        <v>2.6925299052784474E-2</v>
      </c>
      <c r="AD47" s="135" t="str">
        <f>IF(Z47&lt;AA47,""&amp;AB47,IF((Z47&gt;AA47),""&amp;AC47))</f>
        <v>0,0269252990527845</v>
      </c>
      <c r="AE47" s="127">
        <f>(Q47*AW47)/X47</f>
        <v>319773.45378758945</v>
      </c>
      <c r="AF47" s="127">
        <f>LOG10(AE47)</f>
        <v>5.5048424076525837</v>
      </c>
      <c r="AG47" s="127">
        <f>(500*AW47)/S47</f>
        <v>150000</v>
      </c>
      <c r="AH47" s="127">
        <f>LOG10(AG47)</f>
        <v>5.1760912590556813</v>
      </c>
      <c r="AI47" s="127">
        <f>(AF47/AH47)+1</f>
        <v>2.0635133988454601</v>
      </c>
      <c r="AJ47" s="127">
        <f>IF(AI47&gt;2,2,AI47)</f>
        <v>2</v>
      </c>
      <c r="AK47" s="127">
        <f>LOG10((3.7*AW47)/S47)</f>
        <v>3.0453229787866576</v>
      </c>
      <c r="AL47" s="127">
        <f>AF47-1</f>
        <v>4.5048424076525837</v>
      </c>
      <c r="AM47" s="127">
        <f>(1.312*(2-AJ47)*AK47)/AL47</f>
        <v>0</v>
      </c>
      <c r="AN47" s="127">
        <f>(0.5*((AJ47/2)+AM47))/AK47</f>
        <v>0.16418619748477847</v>
      </c>
      <c r="AO47" s="127">
        <f>AN47*AN47</f>
        <v>2.6957107444510676E-2</v>
      </c>
      <c r="AP47" s="127">
        <v>105</v>
      </c>
      <c r="AQ47" s="127">
        <v>70</v>
      </c>
      <c r="AR47" s="127">
        <f>AP47-AQ47</f>
        <v>35</v>
      </c>
      <c r="AS47" s="132" t="str">
        <f>LOOKUP(AP47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47" s="132">
        <v>105</v>
      </c>
      <c r="AU47" s="132">
        <v>70</v>
      </c>
      <c r="AV47" s="127">
        <f>AT47-AU47</f>
        <v>35</v>
      </c>
      <c r="AW47" s="127">
        <f>(K47-(M47*2))/1000</f>
        <v>0.15</v>
      </c>
      <c r="AX47" s="132" t="str">
        <f>IF(T47="изола",AO47,AD47)</f>
        <v>0,0269252990527845</v>
      </c>
      <c r="AY47" s="127">
        <f>(0.00638*AX47*(I47^2))/((AW47^5)*V47)</f>
        <v>4.8150959177414343</v>
      </c>
      <c r="AZ47" s="127">
        <f>AY47*9.81</f>
        <v>47.236090953043472</v>
      </c>
      <c r="BA47" s="127">
        <f>(AZ47/9.81/Y47)*1000</f>
        <v>5.0242032573107061</v>
      </c>
      <c r="BB47" s="127">
        <f>BA47*P47/1000</f>
        <v>0.41148224677374684</v>
      </c>
      <c r="BC47" s="127">
        <f>I47/BW47</f>
        <v>46.19068559915965</v>
      </c>
      <c r="BD47" s="127">
        <f>(BC47/3600)/R47</f>
        <v>0.72607231085839097</v>
      </c>
      <c r="BE47" s="127">
        <f>BH47</f>
        <v>977.81</v>
      </c>
      <c r="BF47" s="127" t="str">
        <f>LOOKUP(AQ47,{5,10,15,20,25,30,40,50,60,70,80,90,100,125,150},{"0,000181656","0,000156444","0,000136428","0,000120228","0,000106908","0,000095784","0,00007848","0,000065724","0,000056088","0,000048576","0,000042648","0,00003786","0,000033948","0,0000264","0,00002196"})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47" s="136">
        <f>(BF47*9.81)/BE47</f>
        <v>4.8734473977562104E-7</v>
      </c>
      <c r="BH47" s="127">
        <f>BW47*1000</f>
        <v>977.81</v>
      </c>
      <c r="BI47" s="127">
        <f>(BD47*AW47)/BG47</f>
        <v>223478.03872655405</v>
      </c>
      <c r="BJ47" s="127">
        <f>0.11*(((S47/AW47)+(68/BI47))^0.25)</f>
        <v>2.7014493675305187E-2</v>
      </c>
      <c r="BK47" s="135" t="str">
        <f>IF(BI47&lt;AA47,""&amp;BJ47,IF((BI47&gt;AA47),""&amp;AC47))</f>
        <v>0,0269252990527845</v>
      </c>
      <c r="BL47" s="127">
        <f>(BD47*AW47)/BG47</f>
        <v>223478.03872655405</v>
      </c>
      <c r="BM47" s="127">
        <f>LOG10(BL47)</f>
        <v>5.3492348512778323</v>
      </c>
      <c r="BN47" s="127">
        <f>(500*AW47)/S47</f>
        <v>150000</v>
      </c>
      <c r="BO47" s="127">
        <f>LOG10(BN47)</f>
        <v>5.1760912590556813</v>
      </c>
      <c r="BP47" s="127">
        <f>(BM47/BO47)+1</f>
        <v>2.0334506451985819</v>
      </c>
      <c r="BQ47" s="127">
        <f>IF(BP47&gt;2,2,BP47)</f>
        <v>2</v>
      </c>
      <c r="BR47" s="127">
        <f>LOG10((3.7*AW47)/S47)</f>
        <v>3.0453229787866576</v>
      </c>
      <c r="BS47" s="127">
        <f>BM47-1</f>
        <v>4.3492348512778323</v>
      </c>
      <c r="BT47" s="127">
        <f>(1.312*(2-BQ47)*BR47)/BS47</f>
        <v>0</v>
      </c>
      <c r="BU47" s="127">
        <f>(0.5*((BQ47/2)+BT47))/BR47</f>
        <v>0.16418619748477847</v>
      </c>
      <c r="BV47" s="127">
        <f>BU47*BU47</f>
        <v>2.6957107444510676E-2</v>
      </c>
      <c r="BW47" s="127" t="str">
        <f>LOOKUP(AQ47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47" s="137" t="str">
        <f>IF(T47="изола",BV47,BK47)</f>
        <v>0,0269252990527845</v>
      </c>
      <c r="BY47" s="127">
        <f>(0.00638*BX47*(I47^2))/((AW47^5)*BE47)</f>
        <v>4.719415454582216</v>
      </c>
      <c r="BZ47" s="127">
        <f>BY47*9.81</f>
        <v>46.297465609451542</v>
      </c>
      <c r="CA47" s="127">
        <f>(BZ47/9.81/BH47)*1000</f>
        <v>4.82651584109614</v>
      </c>
      <c r="CB47" s="127">
        <f>CA47*P47/1000</f>
        <v>0.39529164738577388</v>
      </c>
      <c r="CC47" s="138">
        <f>BB47+CB47</f>
        <v>0.80677389415952072</v>
      </c>
      <c r="CD47" s="139" t="e">
        <f>SUM(#REF!,CC26:CC28,CC47)</f>
        <v>#REF!</v>
      </c>
      <c r="CE47" s="126" t="e">
        <f>CE28-BB47</f>
        <v>#REF!</v>
      </c>
      <c r="CF47" s="130" t="e">
        <f>CF28+CB47</f>
        <v>#REF!</v>
      </c>
      <c r="CG47" s="140" t="e">
        <f>CE47-CF47</f>
        <v>#REF!</v>
      </c>
      <c r="CH47" s="141" t="s">
        <v>81</v>
      </c>
      <c r="CI47" s="127" t="e">
        <f>CE47-CR47</f>
        <v>#REF!</v>
      </c>
      <c r="CJ47" s="127" t="s">
        <v>82</v>
      </c>
      <c r="CK47" s="138" t="str">
        <f>LOOKUP((AP47)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47" s="142" t="e">
        <f>CF47-CR47</f>
        <v>#REF!</v>
      </c>
      <c r="CM47" s="126" t="s">
        <v>82</v>
      </c>
      <c r="CN47" s="127" t="str">
        <f>LOOKUP((AQ47)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47" s="130" t="s">
        <v>83</v>
      </c>
      <c r="CP47" s="126">
        <v>22</v>
      </c>
      <c r="CQ47" s="127">
        <v>20.27</v>
      </c>
      <c r="CR47" s="138">
        <f>CQ47-CP47</f>
        <v>-1.7300000000000004</v>
      </c>
      <c r="CS47" s="141">
        <v>5.5</v>
      </c>
      <c r="CT47" s="127">
        <f>CQ47+CS47+5-CP47</f>
        <v>8.77</v>
      </c>
      <c r="CU47" s="138" t="s">
        <v>90</v>
      </c>
      <c r="CV47" s="127">
        <f>$CV$2+CP47-CQ47</f>
        <v>37.730000000000004</v>
      </c>
      <c r="CW47" s="126" t="s">
        <v>82</v>
      </c>
      <c r="CX47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47" s="126">
        <f>N47*R47*2</f>
        <v>2.2266019124999996</v>
      </c>
      <c r="CZ47" s="143" t="e">
        <f>CD47+CG47</f>
        <v>#REF!</v>
      </c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</row>
    <row r="48" spans="1:124" s="144" customFormat="1" ht="16.5" customHeight="1" x14ac:dyDescent="0.25">
      <c r="A48" s="124" t="s">
        <v>130</v>
      </c>
      <c r="B48" s="125" t="s">
        <v>125</v>
      </c>
      <c r="C48" s="126">
        <v>2.27</v>
      </c>
      <c r="D48" s="126">
        <v>0.5</v>
      </c>
      <c r="E48" s="127">
        <f>(F48-C48)+(G48-D48)</f>
        <v>0.11080000000000023</v>
      </c>
      <c r="F48" s="127">
        <f t="shared" si="350"/>
        <v>2.3608000000000002</v>
      </c>
      <c r="G48" s="127">
        <f t="shared" si="350"/>
        <v>0.52</v>
      </c>
      <c r="H48" s="127">
        <f>F48+G48</f>
        <v>2.8808000000000002</v>
      </c>
      <c r="I48" s="127">
        <f>((F48/(AP48-AQ48))+(G48/(AT48-AU48)))*1000</f>
        <v>82.30857142857144</v>
      </c>
      <c r="J48" s="128">
        <f>I48/AS48</f>
        <v>85.883022839136288</v>
      </c>
      <c r="K48" s="129">
        <v>219</v>
      </c>
      <c r="L48" s="127" t="s">
        <v>11</v>
      </c>
      <c r="M48" s="130">
        <v>4</v>
      </c>
      <c r="N48" s="131">
        <v>20</v>
      </c>
      <c r="O48" s="127" t="str">
        <f>IF(K48&lt;159,"0,3",IF((K48&gt;159),"0,4","0,3"))</f>
        <v>0,4</v>
      </c>
      <c r="P48" s="127">
        <f>N48*(1+O48)</f>
        <v>28</v>
      </c>
      <c r="Q48" s="127">
        <f>(J48/3600)/R48</f>
        <v>0.68226076373425959</v>
      </c>
      <c r="R48" s="127">
        <f>(3.14159*AW48^2)/4</f>
        <v>3.49666820975E-2</v>
      </c>
      <c r="S48" s="127" t="str">
        <f>IF(T48="сталь","0,0005",IF((T48="изола"),"0,000007"))</f>
        <v>0,0005</v>
      </c>
      <c r="T48" s="127" t="s">
        <v>79</v>
      </c>
      <c r="U48" s="127" t="s">
        <v>80</v>
      </c>
      <c r="V48" s="127">
        <f>Y48</f>
        <v>958.38</v>
      </c>
      <c r="W48" s="132" t="str">
        <f>LOOKUP(AP48,{5,10,15,20,25,30,40,50,60,70,80,90,100,125,150},{"0,000181656","0,000156444","0,000136428","0,000120228","0,000106908","0,000095784","0,00007848","0,000065724","0,000056088","0,000048576","0,000042648","0,00003786","0,000033948","0,0000264","0,00002196"})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48" s="133">
        <f>(W48*9.81)/V48</f>
        <v>3.4749251862518006E-7</v>
      </c>
      <c r="Y48" s="127">
        <f>AS48*1000</f>
        <v>958.38</v>
      </c>
      <c r="Z48" s="134">
        <f>(Q48*AW48)/X48</f>
        <v>414273.72801429091</v>
      </c>
      <c r="AA48" s="134">
        <f>560*AW48/S48</f>
        <v>236320</v>
      </c>
      <c r="AB48" s="127">
        <f>0.11*(((S48/AW48)+(68/Z48))^0.25)</f>
        <v>2.4679493155254393E-2</v>
      </c>
      <c r="AC48" s="127">
        <f>1/(1.14+2*LOG(AW48/S48))^2</f>
        <v>2.4485746293495866E-2</v>
      </c>
      <c r="AD48" s="135" t="str">
        <f>IF(Z48&lt;AA48,""&amp;AB48,IF((Z48&gt;AA48),""&amp;AC48))</f>
        <v>0,0244857462934959</v>
      </c>
      <c r="AE48" s="127">
        <f>(Q48*AW48)/X48</f>
        <v>414273.72801429091</v>
      </c>
      <c r="AF48" s="127">
        <f>LOG10(AE48)</f>
        <v>5.6172873925302484</v>
      </c>
      <c r="AG48" s="127">
        <f>(500*AW48)/S48</f>
        <v>211000</v>
      </c>
      <c r="AH48" s="127">
        <f>LOG10(AG48)</f>
        <v>5.3242824552976931</v>
      </c>
      <c r="AI48" s="127">
        <f>(AF48/AH48)+1</f>
        <v>2.0550318169053963</v>
      </c>
      <c r="AJ48" s="127">
        <f>IF(AI48&gt;2,2,AI48)</f>
        <v>2</v>
      </c>
      <c r="AK48" s="127">
        <f>LOG10((3.7*AW48)/S48)</f>
        <v>3.1935141750286689</v>
      </c>
      <c r="AL48" s="127">
        <f>AF48-1</f>
        <v>4.6172873925302484</v>
      </c>
      <c r="AM48" s="127">
        <f>(1.312*(2-AJ48)*AK48)/AL48</f>
        <v>0</v>
      </c>
      <c r="AN48" s="127">
        <f>(0.5*((AJ48/2)+AM48))/AK48</f>
        <v>0.15656733385112073</v>
      </c>
      <c r="AO48" s="127">
        <f>AN48*AN48</f>
        <v>2.4513330029248295E-2</v>
      </c>
      <c r="AP48" s="127">
        <v>105</v>
      </c>
      <c r="AQ48" s="127">
        <v>70</v>
      </c>
      <c r="AR48" s="127">
        <f>AP48-AQ48</f>
        <v>35</v>
      </c>
      <c r="AS48" s="132" t="str">
        <f>LOOKUP(AP48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48" s="132">
        <v>105</v>
      </c>
      <c r="AU48" s="132">
        <v>70</v>
      </c>
      <c r="AV48" s="127">
        <f>AT48-AU48</f>
        <v>35</v>
      </c>
      <c r="AW48" s="127">
        <f>(K48-(M48*2))/1000</f>
        <v>0.21099999999999999</v>
      </c>
      <c r="AX48" s="132" t="str">
        <f>IF(T48="изола",AO48,AD48)</f>
        <v>0,0244857462934959</v>
      </c>
      <c r="AY48" s="127">
        <f>(0.00638*AX48*(I48^2))/((AW48^5)*V48)</f>
        <v>2.6404268082775051</v>
      </c>
      <c r="AZ48" s="127">
        <f>AY48*9.81</f>
        <v>25.902586989202327</v>
      </c>
      <c r="BA48" s="127">
        <f>(AZ48/9.81/Y48)*1000</f>
        <v>2.7550938127647751</v>
      </c>
      <c r="BB48" s="127">
        <f>BA48*P48/1000</f>
        <v>7.7142626757413693E-2</v>
      </c>
      <c r="BC48" s="127">
        <f>I48/BW48</f>
        <v>84.176446782679093</v>
      </c>
      <c r="BD48" s="127">
        <f>(BC48/3600)/R48</f>
        <v>0.66870360371405468</v>
      </c>
      <c r="BE48" s="127">
        <f>BH48</f>
        <v>977.81</v>
      </c>
      <c r="BF48" s="127" t="str">
        <f>LOOKUP(AQ48,{5,10,15,20,25,30,40,50,60,70,80,90,100,125,150},{"0,000181656","0,000156444","0,000136428","0,000120228","0,000106908","0,000095784","0,00007848","0,000065724","0,000056088","0,000048576","0,000042648","0,00003786","0,000033948","0,0000264","0,00002196"})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48" s="136">
        <f>(BF48*9.81)/BE48</f>
        <v>4.8734473977562104E-7</v>
      </c>
      <c r="BH48" s="127">
        <f>BW48*1000</f>
        <v>977.81</v>
      </c>
      <c r="BI48" s="127">
        <f>(BD48*AW48)/BG48</f>
        <v>289520.84400998749</v>
      </c>
      <c r="BJ48" s="127">
        <f>0.11*(((S48/AW48)+(68/BI48))^0.25)</f>
        <v>2.4849943430917575E-2</v>
      </c>
      <c r="BK48" s="135" t="str">
        <f>IF(BI48&lt;AA48,""&amp;BJ48,IF((BI48&gt;AA48),""&amp;AC48))</f>
        <v>0,0244857462934959</v>
      </c>
      <c r="BL48" s="127">
        <f>(BD48*AW48)/BG48</f>
        <v>289520.84400998749</v>
      </c>
      <c r="BM48" s="127">
        <f>LOG10(BL48)</f>
        <v>5.4616798361554961</v>
      </c>
      <c r="BN48" s="127">
        <f>(500*AW48)/S48</f>
        <v>211000</v>
      </c>
      <c r="BO48" s="127">
        <f>LOG10(BN48)</f>
        <v>5.3242824552976931</v>
      </c>
      <c r="BP48" s="127">
        <f>(BM48/BO48)+1</f>
        <v>2.0258058023802046</v>
      </c>
      <c r="BQ48" s="127">
        <f>IF(BP48&gt;2,2,BP48)</f>
        <v>2</v>
      </c>
      <c r="BR48" s="127">
        <f>LOG10((3.7*AW48)/S48)</f>
        <v>3.1935141750286689</v>
      </c>
      <c r="BS48" s="127">
        <f>BM48-1</f>
        <v>4.4616798361554961</v>
      </c>
      <c r="BT48" s="127">
        <f>(1.312*(2-BQ48)*BR48)/BS48</f>
        <v>0</v>
      </c>
      <c r="BU48" s="127">
        <f>(0.5*((BQ48/2)+BT48))/BR48</f>
        <v>0.15656733385112073</v>
      </c>
      <c r="BV48" s="127">
        <f>BU48*BU48</f>
        <v>2.4513330029248295E-2</v>
      </c>
      <c r="BW48" s="127" t="str">
        <f>LOOKUP(AQ48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48" s="137" t="str">
        <f>IF(T48="изола",BV48,BK48)</f>
        <v>0,0244857462934959</v>
      </c>
      <c r="BY48" s="127">
        <f>(0.00638*BX48*(I48^2))/((AW48^5)*BE48)</f>
        <v>2.587959055968946</v>
      </c>
      <c r="BZ48" s="127">
        <f>BY48*9.81</f>
        <v>25.387878339055362</v>
      </c>
      <c r="CA48" s="127">
        <f>(BZ48/9.81/BH48)*1000</f>
        <v>2.6466890868051527</v>
      </c>
      <c r="CB48" s="127">
        <f>CA48*P48/1000</f>
        <v>7.4107294430544271E-2</v>
      </c>
      <c r="CC48" s="138">
        <f>BB48+CB48</f>
        <v>0.15124992118795796</v>
      </c>
      <c r="CD48" s="139" t="e">
        <f>SUM(#REF!,CC26:CC27,CC48)</f>
        <v>#REF!</v>
      </c>
      <c r="CE48" s="126" t="e">
        <f>CE27-BB48</f>
        <v>#REF!</v>
      </c>
      <c r="CF48" s="130" t="e">
        <f>CF27+CB48</f>
        <v>#REF!</v>
      </c>
      <c r="CG48" s="140" t="e">
        <f>CE48-CF48</f>
        <v>#REF!</v>
      </c>
      <c r="CH48" s="141" t="s">
        <v>81</v>
      </c>
      <c r="CI48" s="127" t="e">
        <f>CE48-CR48</f>
        <v>#REF!</v>
      </c>
      <c r="CJ48" s="127" t="s">
        <v>82</v>
      </c>
      <c r="CK48" s="138" t="str">
        <f>LOOKUP((AP48)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48" s="142" t="e">
        <f>CF48-CR48</f>
        <v>#REF!</v>
      </c>
      <c r="CM48" s="126" t="s">
        <v>82</v>
      </c>
      <c r="CN48" s="127" t="str">
        <f>LOOKUP((AQ48)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48" s="130" t="s">
        <v>83</v>
      </c>
      <c r="CP48" s="126">
        <v>22</v>
      </c>
      <c r="CQ48" s="127">
        <v>20.27</v>
      </c>
      <c r="CR48" s="138">
        <f>CQ48-CP48</f>
        <v>-1.7300000000000004</v>
      </c>
      <c r="CS48" s="141">
        <v>5.5</v>
      </c>
      <c r="CT48" s="127">
        <f>CQ48+CS48+5-CP48</f>
        <v>8.77</v>
      </c>
      <c r="CU48" s="138" t="s">
        <v>90</v>
      </c>
      <c r="CV48" s="127">
        <f>$CV$2+CP48-CQ48</f>
        <v>37.730000000000004</v>
      </c>
      <c r="CW48" s="126" t="s">
        <v>82</v>
      </c>
      <c r="CX48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48" s="126">
        <f>N48*R48*2</f>
        <v>1.3986672839000001</v>
      </c>
      <c r="CZ48" s="143" t="e">
        <f>CD48+CG48</f>
        <v>#REF!</v>
      </c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</row>
    <row r="49" spans="1:124" s="144" customFormat="1" ht="16.5" customHeight="1" x14ac:dyDescent="0.25">
      <c r="A49" s="124" t="s">
        <v>126</v>
      </c>
      <c r="B49" s="125" t="s">
        <v>131</v>
      </c>
      <c r="C49" s="126">
        <v>0.54</v>
      </c>
      <c r="D49" s="126">
        <v>0.24</v>
      </c>
      <c r="E49" s="127">
        <f t="shared" ref="E49:E51" si="416">(F49-C49)+(G49-D49)</f>
        <v>3.1200000000000061E-2</v>
      </c>
      <c r="F49" s="127">
        <f t="shared" si="350"/>
        <v>0.5616000000000001</v>
      </c>
      <c r="G49" s="127">
        <f t="shared" si="350"/>
        <v>0.24959999999999999</v>
      </c>
      <c r="H49" s="127">
        <f t="shared" ref="H49:H51" si="417">F49+G49</f>
        <v>0.81120000000000014</v>
      </c>
      <c r="I49" s="127">
        <f t="shared" ref="I49:I51" si="418">((F49/(AP49-AQ49))+(G49/(AT49-AU49)))*1000</f>
        <v>23.177142857142858</v>
      </c>
      <c r="J49" s="128">
        <f t="shared" ref="J49:J51" si="419">I49/AS49</f>
        <v>24.183667081056427</v>
      </c>
      <c r="K49" s="129">
        <v>159</v>
      </c>
      <c r="L49" s="127" t="s">
        <v>11</v>
      </c>
      <c r="M49" s="130">
        <v>4.5</v>
      </c>
      <c r="N49" s="131">
        <v>83</v>
      </c>
      <c r="O49" s="127" t="str">
        <f t="shared" ref="O49:O51" si="420">IF(K49&lt;159,"0,3",IF((K49&gt;159),"0,4","0,3"))</f>
        <v>0,3</v>
      </c>
      <c r="P49" s="127">
        <f t="shared" ref="P49:P51" si="421">N49*(1+O49)</f>
        <v>107.9</v>
      </c>
      <c r="Q49" s="127">
        <f t="shared" ref="Q49:Q51" si="422">(J49/3600)/R49</f>
        <v>0.38014354657883864</v>
      </c>
      <c r="R49" s="127">
        <f t="shared" ref="R49:R51" si="423">(3.14159*AW49^2)/4</f>
        <v>1.7671443749999998E-2</v>
      </c>
      <c r="S49" s="127" t="str">
        <f t="shared" ref="S49:S51" si="424">IF(T49="сталь","0,0005",IF((T49="изола"),"0,000007"))</f>
        <v>0,0005</v>
      </c>
      <c r="T49" s="127" t="s">
        <v>79</v>
      </c>
      <c r="U49" s="127" t="s">
        <v>80</v>
      </c>
      <c r="V49" s="127">
        <f t="shared" ref="V49:V51" si="425">Y49</f>
        <v>958.38</v>
      </c>
      <c r="W49" s="132" t="str">
        <f>LOOKUP(AP49,{5,10,15,20,25,30,40,50,60,70,80,90,100,125,150},{"0,000181656","0,000156444","0,000136428","0,000120228","0,000106908","0,000095784","0,00007848","0,000065724","0,000056088","0,000048576","0,000042648","0,00003786","0,000033948","0,0000264","0,00002196"})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49" s="133">
        <f t="shared" ref="X49:X51" si="426">(W49*9.81)/V49</f>
        <v>3.4749251862518006E-7</v>
      </c>
      <c r="Y49" s="127">
        <f t="shared" ref="Y49:Y51" si="427">AS49*1000</f>
        <v>958.38</v>
      </c>
      <c r="Z49" s="134">
        <f t="shared" ref="Z49:Z51" si="428">(Q49*AW49)/X49</f>
        <v>164094.27233836823</v>
      </c>
      <c r="AA49" s="134">
        <f t="shared" ref="AA49:AA51" si="429">560*AW49/S49</f>
        <v>168000</v>
      </c>
      <c r="AB49" s="127">
        <f t="shared" ref="AB49:AB51" si="430">0.11*(((S49/AW49)+(68/Z49))^0.25)</f>
        <v>2.721665435302445E-2</v>
      </c>
      <c r="AC49" s="127">
        <f t="shared" ref="AC49:AC51" si="431">1/(1.14+2*LOG(AW49/S49))^2</f>
        <v>2.6925299052784474E-2</v>
      </c>
      <c r="AD49" s="135" t="str">
        <f t="shared" ref="AD49:AD51" si="432">IF(Z49&lt;AA49,""&amp;AB49,IF((Z49&gt;AA49),""&amp;AC49))</f>
        <v>0,0272166543530244</v>
      </c>
      <c r="AE49" s="127">
        <f t="shared" ref="AE49:AE51" si="433">(Q49*AW49)/X49</f>
        <v>164094.27233836823</v>
      </c>
      <c r="AF49" s="127">
        <f t="shared" ref="AF49:AF51" si="434">LOG10(AE49)</f>
        <v>5.2150934223982919</v>
      </c>
      <c r="AG49" s="127">
        <f t="shared" ref="AG49:AG51" si="435">(500*AW49)/S49</f>
        <v>150000</v>
      </c>
      <c r="AH49" s="127">
        <f t="shared" ref="AH49:AH51" si="436">LOG10(AG49)</f>
        <v>5.1760912590556813</v>
      </c>
      <c r="AI49" s="127">
        <f t="shared" ref="AI49:AI51" si="437">(AF49/AH49)+1</f>
        <v>2.0075350609930567</v>
      </c>
      <c r="AJ49" s="127">
        <f t="shared" ref="AJ49:AJ51" si="438">IF(AI49&gt;2,2,AI49)</f>
        <v>2</v>
      </c>
      <c r="AK49" s="127">
        <f t="shared" ref="AK49:AK51" si="439">LOG10((3.7*AW49)/S49)</f>
        <v>3.0453229787866576</v>
      </c>
      <c r="AL49" s="127">
        <f t="shared" ref="AL49:AL51" si="440">AF49-1</f>
        <v>4.2150934223982919</v>
      </c>
      <c r="AM49" s="127">
        <f t="shared" ref="AM49:AM51" si="441">(1.312*(2-AJ49)*AK49)/AL49</f>
        <v>0</v>
      </c>
      <c r="AN49" s="127">
        <f t="shared" ref="AN49:AN51" si="442">(0.5*((AJ49/2)+AM49))/AK49</f>
        <v>0.16418619748477847</v>
      </c>
      <c r="AO49" s="127">
        <f t="shared" ref="AO49:AO51" si="443">AN49*AN49</f>
        <v>2.6957107444510676E-2</v>
      </c>
      <c r="AP49" s="127">
        <v>105</v>
      </c>
      <c r="AQ49" s="127">
        <v>70</v>
      </c>
      <c r="AR49" s="127">
        <f t="shared" ref="AR49:AR51" si="444">AP49-AQ49</f>
        <v>35</v>
      </c>
      <c r="AS49" s="132" t="str">
        <f>LOOKUP(AP49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49" s="132">
        <v>105</v>
      </c>
      <c r="AU49" s="132">
        <v>70</v>
      </c>
      <c r="AV49" s="127">
        <f t="shared" ref="AV49:AV51" si="445">AT49-AU49</f>
        <v>35</v>
      </c>
      <c r="AW49" s="127">
        <f t="shared" ref="AW49:AW51" si="446">(K49-(M49*2))/1000</f>
        <v>0.15</v>
      </c>
      <c r="AX49" s="132" t="str">
        <f t="shared" ref="AX49:AX51" si="447">IF(T49="изола",AO49,AD49)</f>
        <v>0,0272166543530244</v>
      </c>
      <c r="AY49" s="127">
        <f t="shared" ref="AY49:AY51" si="448">(0.00638*AX49*(I49^2))/((AW49^5)*V49)</f>
        <v>1.2816846248848091</v>
      </c>
      <c r="AZ49" s="127">
        <f t="shared" ref="AZ49:AZ51" si="449">AY49*9.81</f>
        <v>12.573326170119978</v>
      </c>
      <c r="BA49" s="127">
        <f t="shared" ref="BA49:BA51" si="450">(AZ49/9.81/Y49)*1000</f>
        <v>1.3373449204749777</v>
      </c>
      <c r="BB49" s="127">
        <f t="shared" ref="BB49:BB51" si="451">BA49*P49/1000</f>
        <v>0.14429951691925008</v>
      </c>
      <c r="BC49" s="127">
        <f t="shared" ref="BC49:BC51" si="452">I49/BW49</f>
        <v>23.703114978516133</v>
      </c>
      <c r="BD49" s="127">
        <f t="shared" ref="BD49:BD51" si="453">(BC49/3600)/R49</f>
        <v>0.37258973846680588</v>
      </c>
      <c r="BE49" s="127">
        <f t="shared" ref="BE49:BE51" si="454">BH49</f>
        <v>977.81</v>
      </c>
      <c r="BF49" s="127" t="str">
        <f>LOOKUP(AQ49,{5,10,15,20,25,30,40,50,60,70,80,90,100,125,150},{"0,000181656","0,000156444","0,000136428","0,000120228","0,000106908","0,000095784","0,00007848","0,000065724","0,000056088","0,000048576","0,000042648","0,00003786","0,000033948","0,0000264","0,00002196"})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49" s="136">
        <f t="shared" ref="BG49:BG51" si="455">(BF49*9.81)/BE49</f>
        <v>4.8734473977562104E-7</v>
      </c>
      <c r="BH49" s="127">
        <f t="shared" ref="BH49:BH51" si="456">BW49*1000</f>
        <v>977.81</v>
      </c>
      <c r="BI49" s="127">
        <f t="shared" ref="BI49:BI51" si="457">(BD49*AW49)/BG49</f>
        <v>114679.51987283694</v>
      </c>
      <c r="BJ49" s="127">
        <f t="shared" ref="BJ49:BJ51" si="458">0.11*(((S49/AW49)+(68/BI49))^0.25)</f>
        <v>2.753520296424675E-2</v>
      </c>
      <c r="BK49" s="135" t="str">
        <f t="shared" ref="BK49:BK51" si="459">IF(BI49&lt;AA49,""&amp;BJ49,IF((BI49&gt;AA49),""&amp;AC49))</f>
        <v>0,0275352029642468</v>
      </c>
      <c r="BL49" s="127">
        <f t="shared" ref="BL49:BL51" si="460">(BD49*AW49)/BG49</f>
        <v>114679.51987283694</v>
      </c>
      <c r="BM49" s="127">
        <f t="shared" ref="BM49:BM51" si="461">LOG10(BL49)</f>
        <v>5.0594858660235396</v>
      </c>
      <c r="BN49" s="127">
        <f t="shared" ref="BN49:BN51" si="462">(500*AW49)/S49</f>
        <v>150000</v>
      </c>
      <c r="BO49" s="127">
        <f t="shared" ref="BO49:BO51" si="463">LOG10(BN49)</f>
        <v>5.1760912590556813</v>
      </c>
      <c r="BP49" s="127">
        <f t="shared" ref="BP49:BP51" si="464">(BM49/BO49)+1</f>
        <v>1.977472307346178</v>
      </c>
      <c r="BQ49" s="127">
        <f t="shared" ref="BQ49:BQ51" si="465">IF(BP49&gt;2,2,BP49)</f>
        <v>1.977472307346178</v>
      </c>
      <c r="BR49" s="127">
        <f t="shared" ref="BR49:BR51" si="466">LOG10((3.7*AW49)/S49)</f>
        <v>3.0453229787866576</v>
      </c>
      <c r="BS49" s="127">
        <f t="shared" ref="BS49:BS51" si="467">BM49-1</f>
        <v>4.0594858660235396</v>
      </c>
      <c r="BT49" s="127">
        <f t="shared" ref="BT49:BT51" si="468">(1.312*(2-BQ49)*BR49)/BS49</f>
        <v>2.2172408600201969E-2</v>
      </c>
      <c r="BU49" s="127">
        <f t="shared" ref="BU49:BU51" si="469">(0.5*((BQ49/2)+BT49))/BR49</f>
        <v>0.16597723284445604</v>
      </c>
      <c r="BV49" s="127">
        <f t="shared" ref="BV49:BV51" si="470">BU49*BU49</f>
        <v>2.7548441822702774E-2</v>
      </c>
      <c r="BW49" s="127" t="str">
        <f>LOOKUP(AQ49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49" s="137" t="str">
        <f t="shared" ref="BX49:BX51" si="471">IF(T49="изола",BV49,BK49)</f>
        <v>0,0275352029642468</v>
      </c>
      <c r="BY49" s="127">
        <f t="shared" ref="BY49:BY51" si="472">(0.00638*BX49*(I49^2))/((AW49^5)*BE49)</f>
        <v>1.2709193334620543</v>
      </c>
      <c r="BZ49" s="127">
        <f t="shared" ref="BZ49:BZ51" si="473">BY49*9.81</f>
        <v>12.467718661262754</v>
      </c>
      <c r="CA49" s="127">
        <f t="shared" ref="CA49:CA51" si="474">(BZ49/9.81/BH49)*1000</f>
        <v>1.2997610307340428</v>
      </c>
      <c r="CB49" s="127">
        <f t="shared" ref="CB49:CB51" si="475">CA49*P49/1000</f>
        <v>0.14024421521620323</v>
      </c>
      <c r="CC49" s="138">
        <f t="shared" ref="CC49:CC51" si="476">BB49+CB49</f>
        <v>0.28454373213545331</v>
      </c>
      <c r="CD49" s="139" t="e">
        <f>SUM(CC49,#REF!,CC33:CC35)</f>
        <v>#REF!</v>
      </c>
      <c r="CE49" s="126" t="e">
        <f>CE35-BB49</f>
        <v>#REF!</v>
      </c>
      <c r="CF49" s="130" t="e">
        <f>CF35+CB49</f>
        <v>#REF!</v>
      </c>
      <c r="CG49" s="140" t="e">
        <f t="shared" ref="CG49:CG51" si="477">CE49-CF49</f>
        <v>#REF!</v>
      </c>
      <c r="CH49" s="141" t="s">
        <v>81</v>
      </c>
      <c r="CI49" s="127" t="e">
        <f t="shared" ref="CI49:CI51" si="478">CE49-CR49</f>
        <v>#REF!</v>
      </c>
      <c r="CJ49" s="127" t="s">
        <v>82</v>
      </c>
      <c r="CK49" s="138" t="str">
        <f>LOOKUP((AP49)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49" s="142" t="e">
        <f t="shared" ref="CL49:CL51" si="479">CF49-CR49</f>
        <v>#REF!</v>
      </c>
      <c r="CM49" s="126" t="s">
        <v>82</v>
      </c>
      <c r="CN49" s="127" t="str">
        <f>LOOKUP((AQ49)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49" s="130" t="s">
        <v>83</v>
      </c>
      <c r="CP49" s="126">
        <v>22</v>
      </c>
      <c r="CQ49" s="127">
        <v>20.27</v>
      </c>
      <c r="CR49" s="138">
        <f t="shared" ref="CR49:CR51" si="480">CQ49-CP49</f>
        <v>-1.7300000000000004</v>
      </c>
      <c r="CS49" s="141">
        <v>5.5</v>
      </c>
      <c r="CT49" s="127">
        <f t="shared" si="345"/>
        <v>8.77</v>
      </c>
      <c r="CU49" s="138" t="s">
        <v>90</v>
      </c>
      <c r="CV49" s="127">
        <f t="shared" si="346"/>
        <v>37.730000000000004</v>
      </c>
      <c r="CW49" s="126" t="s">
        <v>82</v>
      </c>
      <c r="CX49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49" s="126">
        <f t="shared" ref="CY49:CY51" si="481">N49*R49*2</f>
        <v>2.9334596624999998</v>
      </c>
      <c r="CZ49" s="143" t="e">
        <f t="shared" ref="CZ49:CZ51" si="482">CD49+CG49</f>
        <v>#REF!</v>
      </c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</row>
    <row r="50" spans="1:124" s="144" customFormat="1" ht="16.5" customHeight="1" x14ac:dyDescent="0.25">
      <c r="A50" s="124" t="s">
        <v>127</v>
      </c>
      <c r="B50" s="125" t="s">
        <v>132</v>
      </c>
      <c r="C50" s="126">
        <v>2.44</v>
      </c>
      <c r="D50" s="126">
        <v>0.55000000000000004</v>
      </c>
      <c r="E50" s="127">
        <f t="shared" si="416"/>
        <v>0.11959999999999993</v>
      </c>
      <c r="F50" s="127">
        <f t="shared" si="350"/>
        <v>2.5375999999999999</v>
      </c>
      <c r="G50" s="127">
        <f t="shared" si="350"/>
        <v>0.57200000000000006</v>
      </c>
      <c r="H50" s="127">
        <f t="shared" si="417"/>
        <v>3.1095999999999999</v>
      </c>
      <c r="I50" s="127">
        <f t="shared" si="418"/>
        <v>88.84571428571428</v>
      </c>
      <c r="J50" s="128">
        <f t="shared" si="419"/>
        <v>92.704057144049628</v>
      </c>
      <c r="K50" s="129">
        <v>219</v>
      </c>
      <c r="L50" s="127" t="s">
        <v>11</v>
      </c>
      <c r="M50" s="130">
        <v>6</v>
      </c>
      <c r="N50" s="131">
        <v>20</v>
      </c>
      <c r="O50" s="127" t="str">
        <f t="shared" si="420"/>
        <v>0,4</v>
      </c>
      <c r="P50" s="127">
        <f t="shared" si="421"/>
        <v>28</v>
      </c>
      <c r="Q50" s="127">
        <f t="shared" si="422"/>
        <v>0.76518427250168808</v>
      </c>
      <c r="R50" s="127">
        <f t="shared" si="423"/>
        <v>3.3653497477499995E-2</v>
      </c>
      <c r="S50" s="127" t="str">
        <f t="shared" si="424"/>
        <v>0,0005</v>
      </c>
      <c r="T50" s="127" t="s">
        <v>79</v>
      </c>
      <c r="U50" s="127" t="s">
        <v>80</v>
      </c>
      <c r="V50" s="127">
        <f t="shared" si="425"/>
        <v>958.38</v>
      </c>
      <c r="W50" s="132" t="str">
        <f>LOOKUP(AP50,{5,10,15,20,25,30,40,50,60,70,80,90,100,125,150},{"0,000181656","0,000156444","0,000136428","0,000120228","0,000106908","0,000095784","0,00007848","0,000065724","0,000056088","0,000048576","0,000042648","0,00003786","0,000033948","0,0000264","0,00002196"})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50" s="133">
        <f t="shared" si="426"/>
        <v>3.4749251862518006E-7</v>
      </c>
      <c r="Y50" s="127">
        <f t="shared" si="427"/>
        <v>958.38</v>
      </c>
      <c r="Z50" s="134">
        <f t="shared" si="428"/>
        <v>455817.42316213402</v>
      </c>
      <c r="AA50" s="134">
        <f t="shared" si="429"/>
        <v>231839.99999999997</v>
      </c>
      <c r="AB50" s="127">
        <f t="shared" si="430"/>
        <v>2.4754225935577242E-2</v>
      </c>
      <c r="AC50" s="127">
        <f t="shared" si="431"/>
        <v>2.4613636851944027E-2</v>
      </c>
      <c r="AD50" s="135" t="str">
        <f t="shared" si="432"/>
        <v>0,024613636851944</v>
      </c>
      <c r="AE50" s="127">
        <f t="shared" si="433"/>
        <v>455817.42316213402</v>
      </c>
      <c r="AF50" s="127">
        <f t="shared" si="434"/>
        <v>5.6587909216310042</v>
      </c>
      <c r="AG50" s="127">
        <f t="shared" si="435"/>
        <v>207000</v>
      </c>
      <c r="AH50" s="127">
        <f t="shared" si="436"/>
        <v>5.3159703454569174</v>
      </c>
      <c r="AI50" s="127">
        <f t="shared" si="437"/>
        <v>2.0644888052219974</v>
      </c>
      <c r="AJ50" s="127">
        <f t="shared" si="438"/>
        <v>2</v>
      </c>
      <c r="AK50" s="127">
        <f t="shared" si="439"/>
        <v>3.1852020651878941</v>
      </c>
      <c r="AL50" s="127">
        <f t="shared" si="440"/>
        <v>4.6587909216310042</v>
      </c>
      <c r="AM50" s="127">
        <f t="shared" si="441"/>
        <v>0</v>
      </c>
      <c r="AN50" s="127">
        <f t="shared" si="442"/>
        <v>0.15697591228658994</v>
      </c>
      <c r="AO50" s="127">
        <f t="shared" si="443"/>
        <v>2.4641437038207179E-2</v>
      </c>
      <c r="AP50" s="127">
        <v>105</v>
      </c>
      <c r="AQ50" s="127">
        <v>70</v>
      </c>
      <c r="AR50" s="127">
        <f t="shared" si="444"/>
        <v>35</v>
      </c>
      <c r="AS50" s="132" t="str">
        <f>LOOKUP(AP50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50" s="132">
        <v>105</v>
      </c>
      <c r="AU50" s="132">
        <v>70</v>
      </c>
      <c r="AV50" s="127">
        <f t="shared" si="445"/>
        <v>35</v>
      </c>
      <c r="AW50" s="127">
        <f t="shared" si="446"/>
        <v>0.20699999999999999</v>
      </c>
      <c r="AX50" s="132" t="str">
        <f t="shared" si="447"/>
        <v>0,024613636851944</v>
      </c>
      <c r="AY50" s="127">
        <f t="shared" si="448"/>
        <v>3.4031411676931058</v>
      </c>
      <c r="AZ50" s="127">
        <f t="shared" si="449"/>
        <v>33.384814855069372</v>
      </c>
      <c r="BA50" s="127">
        <f t="shared" si="450"/>
        <v>3.550930912261427</v>
      </c>
      <c r="BB50" s="127">
        <f t="shared" si="451"/>
        <v>9.9426065543319952E-2</v>
      </c>
      <c r="BC50" s="127">
        <f t="shared" si="452"/>
        <v>90.861940750978491</v>
      </c>
      <c r="BD50" s="127">
        <f t="shared" si="453"/>
        <v>0.74997934473994732</v>
      </c>
      <c r="BE50" s="127">
        <f t="shared" si="454"/>
        <v>977.81</v>
      </c>
      <c r="BF50" s="127" t="str">
        <f>LOOKUP(AQ50,{5,10,15,20,25,30,40,50,60,70,80,90,100,125,150},{"0,000181656","0,000156444","0,000136428","0,000120228","0,000106908","0,000095784","0,00007848","0,000065724","0,000056088","0,000048576","0,000042648","0,00003786","0,000033948","0,0000264","0,00002196"})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50" s="136">
        <f t="shared" si="455"/>
        <v>4.8734473977562104E-7</v>
      </c>
      <c r="BH50" s="127">
        <f t="shared" si="456"/>
        <v>977.81</v>
      </c>
      <c r="BI50" s="127">
        <f t="shared" si="457"/>
        <v>318554.22186899144</v>
      </c>
      <c r="BJ50" s="127">
        <f t="shared" si="458"/>
        <v>2.4907903095223463E-2</v>
      </c>
      <c r="BK50" s="135" t="str">
        <f t="shared" si="459"/>
        <v>0,024613636851944</v>
      </c>
      <c r="BL50" s="127">
        <f t="shared" si="460"/>
        <v>318554.22186899144</v>
      </c>
      <c r="BM50" s="127">
        <f t="shared" si="461"/>
        <v>5.5031833652562527</v>
      </c>
      <c r="BN50" s="127">
        <f t="shared" si="462"/>
        <v>207000</v>
      </c>
      <c r="BO50" s="127">
        <f t="shared" si="463"/>
        <v>5.3159703454569174</v>
      </c>
      <c r="BP50" s="127">
        <f t="shared" si="464"/>
        <v>2.0352170925782778</v>
      </c>
      <c r="BQ50" s="127">
        <f t="shared" si="465"/>
        <v>2</v>
      </c>
      <c r="BR50" s="127">
        <f t="shared" si="466"/>
        <v>3.1852020651878941</v>
      </c>
      <c r="BS50" s="127">
        <f t="shared" si="467"/>
        <v>4.5031833652562527</v>
      </c>
      <c r="BT50" s="127">
        <f t="shared" si="468"/>
        <v>0</v>
      </c>
      <c r="BU50" s="127">
        <f t="shared" si="469"/>
        <v>0.15697591228658994</v>
      </c>
      <c r="BV50" s="127">
        <f t="shared" si="470"/>
        <v>2.4641437038207179E-2</v>
      </c>
      <c r="BW50" s="127" t="str">
        <f>LOOKUP(AQ50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50" s="137" t="str">
        <f t="shared" si="471"/>
        <v>0,024613636851944</v>
      </c>
      <c r="BY50" s="127">
        <f t="shared" si="472"/>
        <v>3.3355175671078419</v>
      </c>
      <c r="BZ50" s="127">
        <f t="shared" si="473"/>
        <v>32.721427333327931</v>
      </c>
      <c r="CA50" s="127">
        <f t="shared" si="474"/>
        <v>3.4112123695890224</v>
      </c>
      <c r="CB50" s="127">
        <f t="shared" si="475"/>
        <v>9.5513946348492626E-2</v>
      </c>
      <c r="CC50" s="138">
        <f t="shared" si="476"/>
        <v>0.19494001189181259</v>
      </c>
      <c r="CD50" s="139" t="e">
        <f>SUM(#REF!,CC33:CC35,CC50)</f>
        <v>#REF!</v>
      </c>
      <c r="CE50" s="126" t="e">
        <f>CE35-BB50</f>
        <v>#REF!</v>
      </c>
      <c r="CF50" s="130" t="e">
        <f>CF35+CB50</f>
        <v>#REF!</v>
      </c>
      <c r="CG50" s="140" t="e">
        <f t="shared" si="477"/>
        <v>#REF!</v>
      </c>
      <c r="CH50" s="141" t="s">
        <v>81</v>
      </c>
      <c r="CI50" s="127" t="e">
        <f t="shared" si="478"/>
        <v>#REF!</v>
      </c>
      <c r="CJ50" s="127" t="s">
        <v>82</v>
      </c>
      <c r="CK50" s="138" t="str">
        <f>LOOKUP((AP50)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50" s="142" t="e">
        <f t="shared" si="479"/>
        <v>#REF!</v>
      </c>
      <c r="CM50" s="126" t="s">
        <v>82</v>
      </c>
      <c r="CN50" s="127" t="str">
        <f>LOOKUP((AQ50)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50" s="130" t="s">
        <v>83</v>
      </c>
      <c r="CP50" s="126">
        <v>22</v>
      </c>
      <c r="CQ50" s="127">
        <v>20.27</v>
      </c>
      <c r="CR50" s="138">
        <f t="shared" si="480"/>
        <v>-1.7300000000000004</v>
      </c>
      <c r="CS50" s="141">
        <v>5.5</v>
      </c>
      <c r="CT50" s="127">
        <f t="shared" si="345"/>
        <v>8.77</v>
      </c>
      <c r="CU50" s="138" t="s">
        <v>90</v>
      </c>
      <c r="CV50" s="127">
        <f t="shared" si="346"/>
        <v>37.730000000000004</v>
      </c>
      <c r="CW50" s="126" t="s">
        <v>82</v>
      </c>
      <c r="CX50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50" s="126">
        <f t="shared" si="481"/>
        <v>1.3461398990999998</v>
      </c>
      <c r="CZ50" s="143" t="e">
        <f t="shared" si="482"/>
        <v>#REF!</v>
      </c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</row>
    <row r="51" spans="1:124" s="144" customFormat="1" ht="16.5" customHeight="1" thickBot="1" x14ac:dyDescent="0.3">
      <c r="A51" s="192" t="s">
        <v>128</v>
      </c>
      <c r="B51" s="193" t="s">
        <v>133</v>
      </c>
      <c r="C51" s="126">
        <f>1.19+0.23+C52</f>
        <v>2.86</v>
      </c>
      <c r="D51" s="126">
        <f>0.25+0.03+D52</f>
        <v>0.6100000000000001</v>
      </c>
      <c r="E51" s="127">
        <f t="shared" si="416"/>
        <v>0.13880000000000026</v>
      </c>
      <c r="F51" s="127">
        <f t="shared" si="350"/>
        <v>2.9744000000000002</v>
      </c>
      <c r="G51" s="127">
        <f t="shared" si="350"/>
        <v>0.63440000000000007</v>
      </c>
      <c r="H51" s="127">
        <f t="shared" si="417"/>
        <v>3.6088000000000005</v>
      </c>
      <c r="I51" s="127">
        <f t="shared" si="418"/>
        <v>103.10857142857144</v>
      </c>
      <c r="J51" s="128">
        <f t="shared" si="419"/>
        <v>107.58631380931513</v>
      </c>
      <c r="K51" s="129">
        <v>219</v>
      </c>
      <c r="L51" s="127" t="s">
        <v>11</v>
      </c>
      <c r="M51" s="130">
        <v>4.5</v>
      </c>
      <c r="N51" s="131">
        <v>100</v>
      </c>
      <c r="O51" s="127" t="str">
        <f t="shared" si="420"/>
        <v>0,4</v>
      </c>
      <c r="P51" s="127">
        <f t="shared" si="421"/>
        <v>140</v>
      </c>
      <c r="Q51" s="127">
        <f t="shared" si="422"/>
        <v>0.86283235650743739</v>
      </c>
      <c r="R51" s="127">
        <f t="shared" si="423"/>
        <v>3.4636029749999991E-2</v>
      </c>
      <c r="S51" s="127" t="str">
        <f t="shared" si="424"/>
        <v>0,0005</v>
      </c>
      <c r="T51" s="127" t="s">
        <v>79</v>
      </c>
      <c r="U51" s="127" t="s">
        <v>80</v>
      </c>
      <c r="V51" s="127">
        <f t="shared" si="425"/>
        <v>958.38</v>
      </c>
      <c r="W51" s="132" t="str">
        <f>LOOKUP(AP51,{5,10,15,20,25,30,40,50,60,70,80,90,100,125,150},{"0,000181656","0,000156444","0,000136428","0,000120228","0,000106908","0,000095784","0,00007848","0,000065724","0,000056088","0,000048576","0,000042648","0,00003786","0,000033948","0,0000264","0,00002196"})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51" s="133">
        <f t="shared" si="426"/>
        <v>3.4749251862518006E-7</v>
      </c>
      <c r="Y51" s="127">
        <f t="shared" si="427"/>
        <v>958.38</v>
      </c>
      <c r="Z51" s="134">
        <f t="shared" si="428"/>
        <v>521435.09616679291</v>
      </c>
      <c r="AA51" s="134">
        <f t="shared" si="429"/>
        <v>235199.99999999997</v>
      </c>
      <c r="AB51" s="127">
        <f t="shared" si="430"/>
        <v>2.4624646357660065E-2</v>
      </c>
      <c r="AC51" s="127">
        <f t="shared" si="431"/>
        <v>2.4517397030032459E-2</v>
      </c>
      <c r="AD51" s="135" t="str">
        <f t="shared" si="432"/>
        <v>0,0245173970300325</v>
      </c>
      <c r="AE51" s="127">
        <f t="shared" si="433"/>
        <v>521435.09616679291</v>
      </c>
      <c r="AF51" s="127">
        <f t="shared" si="434"/>
        <v>5.7172002588204469</v>
      </c>
      <c r="AG51" s="127">
        <f t="shared" si="435"/>
        <v>210000</v>
      </c>
      <c r="AH51" s="127">
        <f t="shared" si="436"/>
        <v>5.3222192947339195</v>
      </c>
      <c r="AI51" s="127">
        <f t="shared" si="437"/>
        <v>2.0742135831338899</v>
      </c>
      <c r="AJ51" s="127">
        <f t="shared" si="438"/>
        <v>2</v>
      </c>
      <c r="AK51" s="127">
        <f t="shared" si="439"/>
        <v>3.1914510144648953</v>
      </c>
      <c r="AL51" s="127">
        <f t="shared" si="440"/>
        <v>4.7172002588204469</v>
      </c>
      <c r="AM51" s="127">
        <f t="shared" si="441"/>
        <v>0</v>
      </c>
      <c r="AN51" s="127">
        <f t="shared" si="442"/>
        <v>0.15666854911255282</v>
      </c>
      <c r="AO51" s="127">
        <f t="shared" si="443"/>
        <v>2.4545034281032375E-2</v>
      </c>
      <c r="AP51" s="127">
        <v>105</v>
      </c>
      <c r="AQ51" s="127">
        <v>70</v>
      </c>
      <c r="AR51" s="127">
        <f t="shared" si="444"/>
        <v>35</v>
      </c>
      <c r="AS51" s="132" t="str">
        <f>LOOKUP(AP51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51" s="132">
        <v>105</v>
      </c>
      <c r="AU51" s="132">
        <v>70</v>
      </c>
      <c r="AV51" s="127">
        <f t="shared" si="445"/>
        <v>35</v>
      </c>
      <c r="AW51" s="127">
        <f t="shared" si="446"/>
        <v>0.21</v>
      </c>
      <c r="AX51" s="132" t="str">
        <f t="shared" si="447"/>
        <v>0,0245173970300325</v>
      </c>
      <c r="AY51" s="127">
        <f t="shared" si="448"/>
        <v>4.2486441959147117</v>
      </c>
      <c r="AZ51" s="127">
        <f t="shared" si="449"/>
        <v>41.679199561923326</v>
      </c>
      <c r="BA51" s="127">
        <f t="shared" si="450"/>
        <v>4.4331519813797362</v>
      </c>
      <c r="BB51" s="127">
        <f t="shared" si="451"/>
        <v>0.62064127739316299</v>
      </c>
      <c r="BC51" s="127">
        <f t="shared" si="452"/>
        <v>105.44847304544997</v>
      </c>
      <c r="BD51" s="127">
        <f t="shared" si="453"/>
        <v>0.84568706991092135</v>
      </c>
      <c r="BE51" s="127">
        <f t="shared" si="454"/>
        <v>977.81</v>
      </c>
      <c r="BF51" s="127" t="str">
        <f>LOOKUP(AQ51,{5,10,15,20,25,30,40,50,60,70,80,90,100,125,150},{"0,000181656","0,000156444","0,000136428","0,000120228","0,000106908","0,000095784","0,00007848","0,000065724","0,000056088","0,000048576","0,000042648","0,00003786","0,000033948","0,0000264","0,00002196"})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51" s="136">
        <f t="shared" si="455"/>
        <v>4.8734473977562104E-7</v>
      </c>
      <c r="BH51" s="127">
        <f t="shared" si="456"/>
        <v>977.81</v>
      </c>
      <c r="BI51" s="127">
        <f t="shared" si="457"/>
        <v>364412.02743474749</v>
      </c>
      <c r="BJ51" s="127">
        <f t="shared" si="458"/>
        <v>2.4761251785686597E-2</v>
      </c>
      <c r="BK51" s="135" t="str">
        <f t="shared" si="459"/>
        <v>0,0245173970300325</v>
      </c>
      <c r="BL51" s="127">
        <f t="shared" si="460"/>
        <v>364412.02743474749</v>
      </c>
      <c r="BM51" s="127">
        <f t="shared" si="461"/>
        <v>5.5615927024456955</v>
      </c>
      <c r="BN51" s="127">
        <f t="shared" si="462"/>
        <v>210000</v>
      </c>
      <c r="BO51" s="127">
        <f t="shared" si="463"/>
        <v>5.3222192947339195</v>
      </c>
      <c r="BP51" s="127">
        <f t="shared" si="464"/>
        <v>2.0449762391317892</v>
      </c>
      <c r="BQ51" s="127">
        <f t="shared" si="465"/>
        <v>2</v>
      </c>
      <c r="BR51" s="127">
        <f t="shared" si="466"/>
        <v>3.1914510144648953</v>
      </c>
      <c r="BS51" s="127">
        <f t="shared" si="467"/>
        <v>4.5615927024456955</v>
      </c>
      <c r="BT51" s="127">
        <f t="shared" si="468"/>
        <v>0</v>
      </c>
      <c r="BU51" s="127">
        <f t="shared" si="469"/>
        <v>0.15666854911255282</v>
      </c>
      <c r="BV51" s="127">
        <f t="shared" si="470"/>
        <v>2.4545034281032375E-2</v>
      </c>
      <c r="BW51" s="127" t="str">
        <f>LOOKUP(AQ51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51" s="137" t="str">
        <f t="shared" si="471"/>
        <v>0,0245173970300325</v>
      </c>
      <c r="BY51" s="127">
        <f t="shared" si="472"/>
        <v>4.1642196587074602</v>
      </c>
      <c r="BZ51" s="127">
        <f t="shared" si="473"/>
        <v>40.850994851920184</v>
      </c>
      <c r="CA51" s="127">
        <f t="shared" si="474"/>
        <v>4.2587206703832647</v>
      </c>
      <c r="CB51" s="127">
        <f t="shared" si="475"/>
        <v>0.59622089385365706</v>
      </c>
      <c r="CC51" s="138">
        <f t="shared" si="476"/>
        <v>1.2168621712468202</v>
      </c>
      <c r="CD51" s="139" t="e">
        <f>SUM(#REF!,CC33:CC35,CC51)</f>
        <v>#REF!</v>
      </c>
      <c r="CE51" s="126" t="e">
        <f>#REF!-BB51</f>
        <v>#REF!</v>
      </c>
      <c r="CF51" s="130" t="e">
        <f>#REF!+CB51</f>
        <v>#REF!</v>
      </c>
      <c r="CG51" s="140" t="e">
        <f t="shared" si="477"/>
        <v>#REF!</v>
      </c>
      <c r="CH51" s="141" t="s">
        <v>81</v>
      </c>
      <c r="CI51" s="127" t="e">
        <f t="shared" si="478"/>
        <v>#REF!</v>
      </c>
      <c r="CJ51" s="127" t="s">
        <v>82</v>
      </c>
      <c r="CK51" s="138" t="str">
        <f>LOOKUP((AP51)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51" s="142" t="e">
        <f t="shared" si="479"/>
        <v>#REF!</v>
      </c>
      <c r="CM51" s="126" t="s">
        <v>82</v>
      </c>
      <c r="CN51" s="127" t="str">
        <f>LOOKUP((AQ51)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51" s="130" t="s">
        <v>83</v>
      </c>
      <c r="CP51" s="126">
        <v>22</v>
      </c>
      <c r="CQ51" s="127">
        <v>20.27</v>
      </c>
      <c r="CR51" s="138">
        <f t="shared" si="480"/>
        <v>-1.7300000000000004</v>
      </c>
      <c r="CS51" s="141">
        <v>5.5</v>
      </c>
      <c r="CT51" s="127">
        <f t="shared" si="345"/>
        <v>8.77</v>
      </c>
      <c r="CU51" s="138" t="s">
        <v>90</v>
      </c>
      <c r="CV51" s="127">
        <f t="shared" si="346"/>
        <v>37.730000000000004</v>
      </c>
      <c r="CW51" s="126" t="s">
        <v>82</v>
      </c>
      <c r="CX51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51" s="126">
        <f t="shared" si="481"/>
        <v>6.9272059499999985</v>
      </c>
      <c r="CZ51" s="143" t="e">
        <f t="shared" si="482"/>
        <v>#REF!</v>
      </c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</row>
    <row r="52" spans="1:124" s="144" customFormat="1" ht="16.5" customHeight="1" thickBot="1" x14ac:dyDescent="0.3">
      <c r="A52" s="192" t="s">
        <v>128</v>
      </c>
      <c r="B52" s="193" t="s">
        <v>134</v>
      </c>
      <c r="C52" s="126">
        <v>1.44</v>
      </c>
      <c r="D52" s="126">
        <v>0.33</v>
      </c>
      <c r="E52" s="127">
        <f>(F52-C52)+(G52-D52)</f>
        <v>7.0800000000000085E-2</v>
      </c>
      <c r="F52" s="127">
        <f>C52*1.04</f>
        <v>1.4976</v>
      </c>
      <c r="G52" s="127">
        <f>D52*1.04</f>
        <v>0.34320000000000001</v>
      </c>
      <c r="H52" s="127">
        <f>F52+G52</f>
        <v>1.8408</v>
      </c>
      <c r="I52" s="127">
        <f>((F52/(AP52-AQ52))+(G52/(AT52-AU52)))*1000</f>
        <v>52.594285714285718</v>
      </c>
      <c r="J52" s="128">
        <f>I52/AS52</f>
        <v>54.878321453166507</v>
      </c>
      <c r="K52" s="129">
        <v>159</v>
      </c>
      <c r="L52" s="127" t="s">
        <v>11</v>
      </c>
      <c r="M52" s="130">
        <v>4.5</v>
      </c>
      <c r="N52" s="131">
        <v>59</v>
      </c>
      <c r="O52" s="127" t="str">
        <f>IF(K52&lt;159,"0,3",IF((K52&gt;159),"0,4","0,3"))</f>
        <v>0,3</v>
      </c>
      <c r="P52" s="127">
        <f>N52*(1+O52)</f>
        <v>76.7</v>
      </c>
      <c r="Q52" s="127">
        <f>(J52/3600)/R52</f>
        <v>0.86263343262121084</v>
      </c>
      <c r="R52" s="127">
        <f>(3.14159*AW52^2)/4</f>
        <v>1.7671443749999998E-2</v>
      </c>
      <c r="S52" s="127" t="str">
        <f>IF(T52="сталь","0,0005",IF((T52="изола"),"0,000007"))</f>
        <v>0,0005</v>
      </c>
      <c r="T52" s="127" t="s">
        <v>79</v>
      </c>
      <c r="U52" s="127" t="s">
        <v>80</v>
      </c>
      <c r="V52" s="127">
        <f>Y52</f>
        <v>958.38</v>
      </c>
      <c r="W52" s="132" t="str">
        <f>LOOKUP(AP52,{5,10,15,20,25,30,40,50,60,70,80,90,100,125,150},{"0,000181656","0,000156444","0,000136428","0,000120228","0,000106908","0,000095784","0,00007848","0,000065724","0,000056088","0,000048576","0,000042648","0,00003786","0,000033948","0,0000264","0,00002196"})</f>
        <v>0,000033948</v>
      </c>
      <c r="X52" s="133">
        <f>(W52*9.81)/V52</f>
        <v>3.4749251862518006E-7</v>
      </c>
      <c r="Y52" s="127">
        <f>AS52*1000</f>
        <v>958.38</v>
      </c>
      <c r="Z52" s="134">
        <f>(Q52*AW52)/X52</f>
        <v>372367.77184475871</v>
      </c>
      <c r="AA52" s="134">
        <f>560*AW52/S52</f>
        <v>168000</v>
      </c>
      <c r="AB52" s="127">
        <f>0.11*(((S52/AW52)+(68/Z52))^0.25)</f>
        <v>2.6785719167953616E-2</v>
      </c>
      <c r="AC52" s="127">
        <f>1/(1.14+2*LOG(AW52/S52))^2</f>
        <v>2.6925299052784474E-2</v>
      </c>
      <c r="AD52" s="135" t="str">
        <f>IF(Z52&lt;AA52,""&amp;AB52,IF((Z52&gt;AA52),""&amp;AC52))</f>
        <v>0,0269252990527845</v>
      </c>
      <c r="AE52" s="127">
        <f>(Q52*AW52)/X52</f>
        <v>372367.77184475871</v>
      </c>
      <c r="AF52" s="127">
        <f>LOG10(AE52)</f>
        <v>5.5709720860696175</v>
      </c>
      <c r="AG52" s="127">
        <f>(500*AW52)/S52</f>
        <v>150000</v>
      </c>
      <c r="AH52" s="127">
        <f>LOG10(AG52)</f>
        <v>5.1760912590556813</v>
      </c>
      <c r="AI52" s="127">
        <f>(AF52/AH52)+1</f>
        <v>2.0762893865758421</v>
      </c>
      <c r="AJ52" s="127">
        <f>IF(AI52&gt;2,2,AI52)</f>
        <v>2</v>
      </c>
      <c r="AK52" s="127">
        <f>LOG10((3.7*AW52)/S52)</f>
        <v>3.0453229787866576</v>
      </c>
      <c r="AL52" s="127">
        <f>AF52-1</f>
        <v>4.5709720860696175</v>
      </c>
      <c r="AM52" s="127">
        <f>(1.312*(2-AJ52)*AK52)/AL52</f>
        <v>0</v>
      </c>
      <c r="AN52" s="127">
        <f>(0.5*((AJ52/2)+AM52))/AK52</f>
        <v>0.16418619748477847</v>
      </c>
      <c r="AO52" s="127">
        <f>AN52*AN52</f>
        <v>2.6957107444510676E-2</v>
      </c>
      <c r="AP52" s="127">
        <v>105</v>
      </c>
      <c r="AQ52" s="127">
        <v>70</v>
      </c>
      <c r="AR52" s="127">
        <f>AP52-AQ52</f>
        <v>35</v>
      </c>
      <c r="AS52" s="132" t="str">
        <f>LOOKUP(AP52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0,95838</v>
      </c>
      <c r="AT52" s="132">
        <v>105</v>
      </c>
      <c r="AU52" s="132">
        <v>70</v>
      </c>
      <c r="AV52" s="127">
        <f>AT52-AU52</f>
        <v>35</v>
      </c>
      <c r="AW52" s="127">
        <f>(K52-(M52*2))/1000</f>
        <v>0.15</v>
      </c>
      <c r="AX52" s="132" t="str">
        <f>IF(T52="изола",AO52,AD52)</f>
        <v>0,0269252990527845</v>
      </c>
      <c r="AY52" s="127">
        <f>(0.00638*AX52*(I52^2))/((AW52^5)*V52)</f>
        <v>6.5292650626264432</v>
      </c>
      <c r="AZ52" s="127">
        <f>AY52*9.81</f>
        <v>64.052090264365418</v>
      </c>
      <c r="BA52" s="127">
        <f>(AZ52/9.81/Y52)*1000</f>
        <v>6.812814397865611</v>
      </c>
      <c r="BB52" s="127">
        <f>BA52*P52/1000</f>
        <v>0.52254286431629238</v>
      </c>
      <c r="BC52" s="127">
        <f>I52/BW52</f>
        <v>53.787837835863535</v>
      </c>
      <c r="BD52" s="127">
        <f>(BC52/3600)/R52</f>
        <v>0.84549209882852094</v>
      </c>
      <c r="BE52" s="127">
        <f>BH52</f>
        <v>977.81</v>
      </c>
      <c r="BF52" s="127" t="str">
        <f>LOOKUP(AQ52,{5,10,15,20,25,30,40,50,60,70,80,90,100,125,150},{"0,000181656","0,000156444","0,000136428","0,000120228","0,000106908","0,000095784","0,00007848","0,000065724","0,000056088","0,000048576","0,000042648","0,00003786","0,000033948","0,0000264","0,00002196"})</f>
        <v>0,000048576</v>
      </c>
      <c r="BG52" s="136">
        <f>(BF52*9.81)/BE52</f>
        <v>4.8734473977562104E-7</v>
      </c>
      <c r="BH52" s="127">
        <f>BW52*1000</f>
        <v>977.81</v>
      </c>
      <c r="BI52" s="127">
        <f>(BD52*AW52)/BG52</f>
        <v>260234.29509605301</v>
      </c>
      <c r="BJ52" s="127">
        <f>0.11*(((S52/AW52)+(68/BI52))^0.25)</f>
        <v>2.6934345383392778E-2</v>
      </c>
      <c r="BK52" s="135" t="str">
        <f>IF(BI52&lt;AA52,""&amp;BJ52,IF((BI52&gt;AA52),""&amp;AC52))</f>
        <v>0,0269252990527845</v>
      </c>
      <c r="BL52" s="127">
        <f>(BD52*AW52)/BG52</f>
        <v>260234.29509605301</v>
      </c>
      <c r="BM52" s="127">
        <f>LOG10(BL52)</f>
        <v>5.415364529694866</v>
      </c>
      <c r="BN52" s="127">
        <f>(500*AW52)/S52</f>
        <v>150000</v>
      </c>
      <c r="BO52" s="127">
        <f>LOG10(BN52)</f>
        <v>5.1760912590556813</v>
      </c>
      <c r="BP52" s="127">
        <f>(BM52/BO52)+1</f>
        <v>2.0462266329289638</v>
      </c>
      <c r="BQ52" s="127">
        <f>IF(BP52&gt;2,2,BP52)</f>
        <v>2</v>
      </c>
      <c r="BR52" s="127">
        <f>LOG10((3.7*AW52)/S52)</f>
        <v>3.0453229787866576</v>
      </c>
      <c r="BS52" s="127">
        <f>BM52-1</f>
        <v>4.415364529694866</v>
      </c>
      <c r="BT52" s="127">
        <f>(1.312*(2-BQ52)*BR52)/BS52</f>
        <v>0</v>
      </c>
      <c r="BU52" s="127">
        <f>(0.5*((BQ52/2)+BT52))/BR52</f>
        <v>0.16418619748477847</v>
      </c>
      <c r="BV52" s="127">
        <f>BU52*BU52</f>
        <v>2.6957107444510676E-2</v>
      </c>
      <c r="BW52" s="127" t="str">
        <f>LOOKUP(AQ52,{0,4,5,10,15,20,25,30,35,40,50,60,70,80,90,95,100,110,120,130,140,150,160,170,180,190,200,210,220,230,240,250},{"0,99987","1","0,99999","0,99973","0,99913","0,99823","0,99707","0,99567","0,99406","0,99224","0,98807","0,98324","0,97781","0,97183","0,96534","0,96192","0,95838","0,951","0,9434","0,9352","0,9264","0,9173","0,9075","0,8973","0,8866","0,875","0,869","0,85","0,837","0,823","0,809","0,794"})</f>
        <v>0,97781</v>
      </c>
      <c r="BX52" s="137" t="str">
        <f>IF(T52="изола",BV52,BK52)</f>
        <v>0,0269252990527845</v>
      </c>
      <c r="BY52" s="127">
        <f>(0.00638*BX52*(I52^2))/((AW52^5)*BE52)</f>
        <v>6.3995224539736055</v>
      </c>
      <c r="BZ52" s="127">
        <f>BY52*9.81</f>
        <v>62.779315273481075</v>
      </c>
      <c r="CA52" s="127">
        <f>(BZ52/9.81/BH52)*1000</f>
        <v>6.5447504668326211</v>
      </c>
      <c r="CB52" s="127">
        <f>CA52*P52/1000</f>
        <v>0.50198236080606207</v>
      </c>
      <c r="CC52" s="138">
        <f>BB52+CB52</f>
        <v>1.0245252251223544</v>
      </c>
      <c r="CD52" s="139" t="e">
        <f>SUM(CC52,#REF!,CC33:CC34)</f>
        <v>#REF!</v>
      </c>
      <c r="CE52" s="126" t="e">
        <f>CE34-BB52</f>
        <v>#REF!</v>
      </c>
      <c r="CF52" s="130" t="e">
        <f>CF34+CB52</f>
        <v>#REF!</v>
      </c>
      <c r="CG52" s="140" t="e">
        <f>CE52-CF52</f>
        <v>#REF!</v>
      </c>
      <c r="CH52" s="141" t="s">
        <v>81</v>
      </c>
      <c r="CI52" s="127" t="e">
        <f>CE52-CR52</f>
        <v>#REF!</v>
      </c>
      <c r="CJ52" s="127" t="s">
        <v>82</v>
      </c>
      <c r="CK52" s="138" t="str">
        <f>LOOKUP((AP52)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12,08</v>
      </c>
      <c r="CL52" s="142" t="e">
        <f>CF52-CR52</f>
        <v>#REF!</v>
      </c>
      <c r="CM52" s="126" t="s">
        <v>82</v>
      </c>
      <c r="CN52" s="127" t="str">
        <f>LOOKUP((AQ52)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O52" s="130" t="s">
        <v>83</v>
      </c>
      <c r="CP52" s="126">
        <v>22</v>
      </c>
      <c r="CQ52" s="127">
        <v>20.27</v>
      </c>
      <c r="CR52" s="138">
        <f>CQ52-CP52</f>
        <v>-1.7300000000000004</v>
      </c>
      <c r="CS52" s="141">
        <v>5.5</v>
      </c>
      <c r="CT52" s="127">
        <f>CQ52+CS52+5-CP52</f>
        <v>8.77</v>
      </c>
      <c r="CU52" s="138" t="s">
        <v>90</v>
      </c>
      <c r="CV52" s="127">
        <f>$CV$2+CP52-CQ52</f>
        <v>37.730000000000004</v>
      </c>
      <c r="CW52" s="126" t="s">
        <v>82</v>
      </c>
      <c r="CX52" s="140" t="str">
        <f>LOOKUP(($CX$2),{0,4,5,10,15,20,25,30,35,40,45,50,55,60,65,70,75,80,85,90,95,100,105,110,115,120,125,130,135,140,145,150,155,160,165,170,175,180,185,190,195,200,205,210,215,220,225,230,235,240,245,250},{"0,06108","0,08129","0,08718","0,12271","0,17041","0,23368","0,31663","0,42417","0,56217","0,73749","0,95817","1,2335","1,574","1,9919","2,5008","3,1161","3,8348","4,7359","5,7803","7,0108","8,4525","10,1325","12,08","14,326","16,905","19,854","23,209","27,012","31,306","36,136","41,55","47,597","54,331","61,804","70,075","79,202","89,246","100,27","112,34","125,52","139,89","155,51","172,45","190,79","210,63","232,01","255,04","279,79","306,35","334,8","365,24","397,76"})</f>
        <v>3,1161</v>
      </c>
      <c r="CY52" s="126">
        <f>N52*R52*2</f>
        <v>2.0852303624999999</v>
      </c>
      <c r="CZ52" s="143" t="e">
        <f>CD52+CG52</f>
        <v>#REF!</v>
      </c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</row>
  </sheetData>
  <mergeCells count="91">
    <mergeCell ref="A42:J42"/>
    <mergeCell ref="CJ1:CJ2"/>
    <mergeCell ref="CY1:CY2"/>
    <mergeCell ref="A4:J4"/>
    <mergeCell ref="A12:J12"/>
    <mergeCell ref="A25:J25"/>
    <mergeCell ref="A30:J30"/>
    <mergeCell ref="CA1:CA2"/>
    <mergeCell ref="CB1:CB2"/>
    <mergeCell ref="CC1:CC2"/>
    <mergeCell ref="CD1:CD2"/>
    <mergeCell ref="CG1:CG2"/>
    <mergeCell ref="CH1:CH2"/>
    <mergeCell ref="BU1:BU2"/>
    <mergeCell ref="BV1:BV2"/>
    <mergeCell ref="BW1:BW2"/>
    <mergeCell ref="BX1:BX2"/>
    <mergeCell ref="BY1:BY2"/>
    <mergeCell ref="BZ1:BZ2"/>
    <mergeCell ref="BO1:BO2"/>
    <mergeCell ref="BP1:BP2"/>
    <mergeCell ref="BQ1:BQ2"/>
    <mergeCell ref="BR1:BR2"/>
    <mergeCell ref="BS1:BS2"/>
    <mergeCell ref="BT1:BT2"/>
    <mergeCell ref="BI1:BI2"/>
    <mergeCell ref="BJ1:BJ2"/>
    <mergeCell ref="BK1:BK2"/>
    <mergeCell ref="BL1:BL2"/>
    <mergeCell ref="BM1:BM2"/>
    <mergeCell ref="BN1:BN2"/>
    <mergeCell ref="BC1:BC2"/>
    <mergeCell ref="BD1:BD2"/>
    <mergeCell ref="BE1:BE2"/>
    <mergeCell ref="BF1:BF2"/>
    <mergeCell ref="BG1:BG2"/>
    <mergeCell ref="BH1:BH2"/>
    <mergeCell ref="AW1:AW2"/>
    <mergeCell ref="AX1:AX2"/>
    <mergeCell ref="AY1:AY2"/>
    <mergeCell ref="AZ1:AZ2"/>
    <mergeCell ref="BA1:BA2"/>
    <mergeCell ref="BB1:BB2"/>
    <mergeCell ref="AQ1:AQ2"/>
    <mergeCell ref="AR1:AR2"/>
    <mergeCell ref="AS1:AS2"/>
    <mergeCell ref="AT1:AT2"/>
    <mergeCell ref="AU1:AU2"/>
    <mergeCell ref="AV1:AV2"/>
    <mergeCell ref="AK1:AK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3й вариант (2)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ВАСЕНЕВ Глеб</dc:creator>
  <cp:lastModifiedBy>ВАСЕНЕВ Глеб</cp:lastModifiedBy>
  <dcterms:created xsi:type="dcterms:W3CDTF">2024-06-10T11:46:32Z</dcterms:created>
  <dcterms:modified xsi:type="dcterms:W3CDTF">2024-06-10T11:47:02Z</dcterms:modified>
</cp:coreProperties>
</file>